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AS-newwebdesign\TOOLS\02_RealEstateValuation\"/>
    </mc:Choice>
  </mc:AlternateContent>
  <bookViews>
    <workbookView xWindow="360" yWindow="120" windowWidth="10410" windowHeight="5325"/>
  </bookViews>
  <sheets>
    <sheet name="Investment_Valuation_Example" sheetId="1" r:id="rId1"/>
    <sheet name="SCENARIOTABLE" sheetId="27" r:id="rId2"/>
    <sheet name="Scen_Man_Data_Results" sheetId="23" state="veryHidden" r:id="rId3"/>
    <sheet name="Scen_Man_Data_Inputs" sheetId="22" state="veryHidden" r:id="rId4"/>
    <sheet name="MC_Saved_Data" sheetId="3" r:id="rId5"/>
  </sheets>
  <definedNames>
    <definedName name="AdminCost">Investment_Valuation_Example!$D$27</definedName>
    <definedName name="AppliedScenName">Investment_Valuation_Example!$D$11</definedName>
    <definedName name="Cash_Multiplier">Investment_Valuation_Example!$D$64</definedName>
    <definedName name="DebtCoverRatio">Investment_Valuation_Example!$D$66</definedName>
    <definedName name="Div_Y1">Investment_Valuation_Example!$E$58</definedName>
    <definedName name="Exit_Year">Investment_Valuation_Example!$D$37</definedName>
    <definedName name="Inflation">Investment_Valuation_Example!$D$28</definedName>
    <definedName name="Interest_Rate">Investment_Valuation_Example!$D$34</definedName>
    <definedName name="IRR">Investment_Valuation_Example!$D$63</definedName>
    <definedName name="Loan_Term">Investment_Valuation_Example!$D$33</definedName>
    <definedName name="LTV">Investment_Valuation_Example!$D$32</definedName>
    <definedName name="MaintRate">Investment_Valuation_Example!$D$26</definedName>
    <definedName name="NCRM">Investment_Valuation_Example!$D$38</definedName>
    <definedName name="Net_Price">Investment_Valuation_Example!$D$14</definedName>
    <definedName name="RentGrowth">Investment_Valuation_Example!$D$22</definedName>
    <definedName name="SaleCost">Investment_Valuation_Example!$N$51</definedName>
    <definedName name="VacancyGoal">Investment_Valuation_Example!$D$24</definedName>
    <definedName name="VacancyRate">Investment_Valuation_Example!$D$23</definedName>
    <definedName name="VacancyTime">Investment_Valuation_Example!$D$25</definedName>
    <definedName name="VacChRate">Investment_Valuation_Example!$N$7</definedName>
  </definedNames>
  <calcPr calcId="152511"/>
</workbook>
</file>

<file path=xl/calcChain.xml><?xml version="1.0" encoding="utf-8"?>
<calcChain xmlns="http://schemas.openxmlformats.org/spreadsheetml/2006/main">
  <c r="D18" i="1" l="1"/>
  <c r="D17" i="1"/>
  <c r="F9" i="1" l="1"/>
  <c r="D71" i="1" l="1"/>
  <c r="D70" i="1"/>
  <c r="N7" i="1"/>
  <c r="X7" i="1" s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P52" i="1"/>
  <c r="Q52" i="1"/>
  <c r="R52" i="1"/>
  <c r="S52" i="1"/>
  <c r="T52" i="1"/>
  <c r="U52" i="1"/>
  <c r="V52" i="1"/>
  <c r="W52" i="1"/>
  <c r="X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O52" i="1"/>
  <c r="P51" i="1"/>
  <c r="Q51" i="1"/>
  <c r="R51" i="1"/>
  <c r="S51" i="1"/>
  <c r="T51" i="1"/>
  <c r="U51" i="1"/>
  <c r="V51" i="1"/>
  <c r="W51" i="1"/>
  <c r="X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O51" i="1"/>
  <c r="P50" i="1"/>
  <c r="Q50" i="1"/>
  <c r="R50" i="1"/>
  <c r="S50" i="1"/>
  <c r="T50" i="1"/>
  <c r="U50" i="1"/>
  <c r="V50" i="1"/>
  <c r="W50" i="1"/>
  <c r="X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O50" i="1"/>
  <c r="Q48" i="1"/>
  <c r="R48" i="1"/>
  <c r="S48" i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AQ48" i="1" s="1"/>
  <c r="AR48" i="1" s="1"/>
  <c r="AS48" i="1" s="1"/>
  <c r="P48" i="1"/>
  <c r="O7" i="1"/>
  <c r="J5" i="1"/>
  <c r="G8" i="1"/>
  <c r="G7" i="1"/>
  <c r="E9" i="1"/>
  <c r="F14" i="1" s="1"/>
  <c r="D9" i="1"/>
  <c r="U7" i="1" l="1"/>
  <c r="R7" i="1"/>
  <c r="AM7" i="1"/>
  <c r="AN7" i="1"/>
  <c r="P7" i="1"/>
  <c r="AF7" i="1"/>
  <c r="AE7" i="1"/>
  <c r="AJ7" i="1"/>
  <c r="T7" i="1"/>
  <c r="W7" i="1"/>
  <c r="AR7" i="1"/>
  <c r="AB7" i="1"/>
  <c r="AQ7" i="1"/>
  <c r="AI7" i="1"/>
  <c r="AA7" i="1"/>
  <c r="S7" i="1"/>
  <c r="Q7" i="1"/>
  <c r="AP7" i="1"/>
  <c r="AL7" i="1"/>
  <c r="AH7" i="1"/>
  <c r="AD7" i="1"/>
  <c r="Z7" i="1"/>
  <c r="V7" i="1"/>
  <c r="AS7" i="1"/>
  <c r="AO7" i="1"/>
  <c r="AK7" i="1"/>
  <c r="AG7" i="1"/>
  <c r="AC7" i="1"/>
  <c r="Y7" i="1"/>
  <c r="P5" i="1"/>
  <c r="O34" i="1" l="1"/>
  <c r="P3" i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P22" i="1"/>
  <c r="D45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H8" i="1"/>
  <c r="H7" i="1"/>
  <c r="G6" i="1"/>
  <c r="H6" i="1" s="1"/>
  <c r="G5" i="1"/>
  <c r="H5" i="1" s="1"/>
  <c r="J6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D15" i="1"/>
  <c r="P34" i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AQ34" i="1" s="1"/>
  <c r="AR34" i="1" s="1"/>
  <c r="AS34" i="1" s="1"/>
  <c r="P33" i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D42" i="1"/>
  <c r="D16" i="1"/>
  <c r="P2" i="1"/>
  <c r="P14" i="1" s="1"/>
  <c r="Q16" i="1" l="1"/>
  <c r="U16" i="1"/>
  <c r="Y16" i="1"/>
  <c r="AC16" i="1"/>
  <c r="AK16" i="1"/>
  <c r="R16" i="1"/>
  <c r="V16" i="1"/>
  <c r="Z16" i="1"/>
  <c r="AD16" i="1"/>
  <c r="AH16" i="1"/>
  <c r="AL16" i="1"/>
  <c r="AP16" i="1"/>
  <c r="P16" i="1"/>
  <c r="W16" i="1"/>
  <c r="AA16" i="1"/>
  <c r="AE16" i="1"/>
  <c r="AI16" i="1"/>
  <c r="AQ16" i="1"/>
  <c r="X16" i="1"/>
  <c r="AF16" i="1"/>
  <c r="AN16" i="1"/>
  <c r="AG16" i="1"/>
  <c r="AS16" i="1"/>
  <c r="S16" i="1"/>
  <c r="AM16" i="1"/>
  <c r="T16" i="1"/>
  <c r="AB16" i="1"/>
  <c r="AJ16" i="1"/>
  <c r="AR16" i="1"/>
  <c r="AO16" i="1"/>
  <c r="D19" i="1"/>
  <c r="I7" i="1"/>
  <c r="I5" i="1"/>
  <c r="P13" i="1"/>
  <c r="I6" i="1"/>
  <c r="I8" i="1"/>
  <c r="G9" i="1"/>
  <c r="D41" i="1"/>
  <c r="D44" i="1" s="1"/>
  <c r="O41" i="1" s="1"/>
  <c r="O13" i="1"/>
  <c r="O12" i="1"/>
  <c r="O11" i="1" s="1"/>
  <c r="P12" i="1"/>
  <c r="P11" i="1" s="1"/>
  <c r="D47" i="1"/>
  <c r="P46" i="1" s="1"/>
  <c r="P39" i="1" s="1"/>
  <c r="O45" i="1"/>
  <c r="D48" i="1"/>
  <c r="D52" i="1" s="1"/>
  <c r="Q2" i="1"/>
  <c r="O54" i="1" l="1"/>
  <c r="AE23" i="1"/>
  <c r="F19" i="1"/>
  <c r="U23" i="1"/>
  <c r="AI23" i="1"/>
  <c r="AS23" i="1"/>
  <c r="I9" i="1"/>
  <c r="O4" i="1" s="1"/>
  <c r="O8" i="1" s="1"/>
  <c r="AG23" i="1"/>
  <c r="AM23" i="1"/>
  <c r="AD23" i="1"/>
  <c r="S23" i="1"/>
  <c r="P23" i="1"/>
  <c r="Y23" i="1"/>
  <c r="Z23" i="1"/>
  <c r="AL23" i="1"/>
  <c r="X23" i="1"/>
  <c r="AQ23" i="1"/>
  <c r="R23" i="1"/>
  <c r="AB23" i="1"/>
  <c r="V23" i="1"/>
  <c r="T23" i="1"/>
  <c r="AN23" i="1"/>
  <c r="AK23" i="1"/>
  <c r="AR23" i="1"/>
  <c r="AP23" i="1"/>
  <c r="W23" i="1"/>
  <c r="Q23" i="1"/>
  <c r="AH23" i="1"/>
  <c r="AC23" i="1"/>
  <c r="AA23" i="1"/>
  <c r="AF23" i="1"/>
  <c r="AJ23" i="1"/>
  <c r="AO23" i="1"/>
  <c r="P17" i="1"/>
  <c r="R2" i="1"/>
  <c r="Q12" i="1"/>
  <c r="Q11" i="1" s="1"/>
  <c r="Q46" i="1"/>
  <c r="Q39" i="1" s="1"/>
  <c r="Q14" i="1"/>
  <c r="Q13" i="1" s="1"/>
  <c r="P45" i="1"/>
  <c r="D51" i="1"/>
  <c r="D53" i="1" s="1"/>
  <c r="D49" i="1"/>
  <c r="O17" i="1"/>
  <c r="O6" i="1" l="1"/>
  <c r="O9" i="1" s="1"/>
  <c r="P4" i="1"/>
  <c r="P6" i="1" s="1"/>
  <c r="Q17" i="1"/>
  <c r="Q45" i="1"/>
  <c r="P21" i="1"/>
  <c r="R12" i="1"/>
  <c r="R11" i="1" s="1"/>
  <c r="S2" i="1"/>
  <c r="R46" i="1"/>
  <c r="R39" i="1" s="1"/>
  <c r="R14" i="1"/>
  <c r="R13" i="1" s="1"/>
  <c r="O19" i="1" l="1"/>
  <c r="O49" i="1"/>
  <c r="E19" i="1"/>
  <c r="P8" i="1"/>
  <c r="P9" i="1" s="1"/>
  <c r="Q4" i="1"/>
  <c r="Q8" i="1" s="1"/>
  <c r="P37" i="1"/>
  <c r="R45" i="1"/>
  <c r="Q21" i="1"/>
  <c r="Q37" i="1" s="1"/>
  <c r="S46" i="1"/>
  <c r="S39" i="1" s="1"/>
  <c r="S14" i="1"/>
  <c r="S13" i="1" s="1"/>
  <c r="T2" i="1"/>
  <c r="S12" i="1"/>
  <c r="S11" i="1" s="1"/>
  <c r="R17" i="1"/>
  <c r="P19" i="1" l="1"/>
  <c r="P25" i="1" s="1"/>
  <c r="P27" i="1" s="1"/>
  <c r="P29" i="1" s="1"/>
  <c r="P49" i="1"/>
  <c r="R4" i="1"/>
  <c r="S4" i="1" s="1"/>
  <c r="S6" i="1" s="1"/>
  <c r="Q6" i="1"/>
  <c r="Q9" i="1" s="1"/>
  <c r="S17" i="1"/>
  <c r="T12" i="1"/>
  <c r="T11" i="1" s="1"/>
  <c r="U2" i="1"/>
  <c r="T46" i="1"/>
  <c r="T39" i="1" s="1"/>
  <c r="T14" i="1"/>
  <c r="T13" i="1" s="1"/>
  <c r="S45" i="1"/>
  <c r="R21" i="1"/>
  <c r="R37" i="1" s="1"/>
  <c r="Q19" i="1" l="1"/>
  <c r="Q36" i="1" s="1"/>
  <c r="Q49" i="1"/>
  <c r="D65" i="1"/>
  <c r="D66" i="1"/>
  <c r="P36" i="1"/>
  <c r="S8" i="1"/>
  <c r="S9" i="1" s="1"/>
  <c r="T4" i="1"/>
  <c r="T6" i="1" s="1"/>
  <c r="R8" i="1"/>
  <c r="R6" i="1"/>
  <c r="P38" i="1"/>
  <c r="T17" i="1"/>
  <c r="T45" i="1"/>
  <c r="S21" i="1"/>
  <c r="U46" i="1"/>
  <c r="U39" i="1" s="1"/>
  <c r="U14" i="1"/>
  <c r="U13" i="1" s="1"/>
  <c r="V2" i="1"/>
  <c r="U12" i="1"/>
  <c r="U11" i="1" s="1"/>
  <c r="P41" i="1" l="1"/>
  <c r="Q25" i="1"/>
  <c r="Q27" i="1" s="1"/>
  <c r="Q38" i="1" s="1"/>
  <c r="Q41" i="1" s="1"/>
  <c r="Q54" i="1" s="1"/>
  <c r="S19" i="1"/>
  <c r="S36" i="1" s="1"/>
  <c r="S49" i="1"/>
  <c r="T8" i="1"/>
  <c r="T9" i="1" s="1"/>
  <c r="U4" i="1"/>
  <c r="V4" i="1" s="1"/>
  <c r="R9" i="1"/>
  <c r="U17" i="1"/>
  <c r="V12" i="1"/>
  <c r="V11" i="1" s="1"/>
  <c r="V46" i="1"/>
  <c r="V39" i="1" s="1"/>
  <c r="W2" i="1"/>
  <c r="V14" i="1"/>
  <c r="V13" i="1" s="1"/>
  <c r="S37" i="1"/>
  <c r="U45" i="1"/>
  <c r="T21" i="1"/>
  <c r="T37" i="1" s="1"/>
  <c r="P54" i="1" l="1"/>
  <c r="D58" i="1"/>
  <c r="F58" i="1" s="1"/>
  <c r="P42" i="1"/>
  <c r="P43" i="1"/>
  <c r="E58" i="1" s="1"/>
  <c r="Q29" i="1"/>
  <c r="Q42" i="1"/>
  <c r="Q43" i="1"/>
  <c r="R19" i="1"/>
  <c r="R36" i="1" s="1"/>
  <c r="R49" i="1"/>
  <c r="S25" i="1"/>
  <c r="S27" i="1" s="1"/>
  <c r="S38" i="1" s="1"/>
  <c r="S41" i="1" s="1"/>
  <c r="S54" i="1" s="1"/>
  <c r="T19" i="1"/>
  <c r="T36" i="1" s="1"/>
  <c r="T49" i="1"/>
  <c r="U8" i="1"/>
  <c r="U6" i="1"/>
  <c r="V45" i="1"/>
  <c r="U21" i="1"/>
  <c r="U37" i="1" s="1"/>
  <c r="X2" i="1"/>
  <c r="W46" i="1"/>
  <c r="W39" i="1" s="1"/>
  <c r="W14" i="1"/>
  <c r="W13" i="1" s="1"/>
  <c r="W12" i="1"/>
  <c r="W11" i="1" s="1"/>
  <c r="V17" i="1"/>
  <c r="V8" i="1"/>
  <c r="W4" i="1"/>
  <c r="V6" i="1"/>
  <c r="R25" i="1" l="1"/>
  <c r="R27" i="1" s="1"/>
  <c r="R38" i="1" s="1"/>
  <c r="R41" i="1" s="1"/>
  <c r="T25" i="1"/>
  <c r="T27" i="1" s="1"/>
  <c r="T38" i="1" s="1"/>
  <c r="T41" i="1" s="1"/>
  <c r="T54" i="1" s="1"/>
  <c r="U9" i="1"/>
  <c r="V9" i="1"/>
  <c r="S29" i="1"/>
  <c r="S42" i="1"/>
  <c r="S43" i="1"/>
  <c r="W45" i="1"/>
  <c r="V21" i="1"/>
  <c r="W6" i="1"/>
  <c r="W8" i="1"/>
  <c r="X4" i="1"/>
  <c r="W17" i="1"/>
  <c r="X14" i="1"/>
  <c r="X13" i="1" s="1"/>
  <c r="X12" i="1"/>
  <c r="X11" i="1" s="1"/>
  <c r="X46" i="1"/>
  <c r="X39" i="1" s="1"/>
  <c r="Y2" i="1"/>
  <c r="R43" i="1" l="1"/>
  <c r="R29" i="1"/>
  <c r="R42" i="1"/>
  <c r="R54" i="1"/>
  <c r="V19" i="1"/>
  <c r="V36" i="1" s="1"/>
  <c r="V49" i="1"/>
  <c r="U19" i="1"/>
  <c r="U36" i="1" s="1"/>
  <c r="U49" i="1"/>
  <c r="X17" i="1"/>
  <c r="W9" i="1"/>
  <c r="X8" i="1"/>
  <c r="Y4" i="1"/>
  <c r="X6" i="1"/>
  <c r="D59" i="1"/>
  <c r="F59" i="1" s="1"/>
  <c r="T43" i="1"/>
  <c r="E59" i="1" s="1"/>
  <c r="T42" i="1"/>
  <c r="X45" i="1"/>
  <c r="W21" i="1"/>
  <c r="W37" i="1" s="1"/>
  <c r="V37" i="1"/>
  <c r="T29" i="1"/>
  <c r="Z2" i="1"/>
  <c r="Y12" i="1"/>
  <c r="Y11" i="1" s="1"/>
  <c r="Y46" i="1"/>
  <c r="Y39" i="1" s="1"/>
  <c r="Y14" i="1"/>
  <c r="Y13" i="1" s="1"/>
  <c r="V25" i="1" l="1"/>
  <c r="V27" i="1" s="1"/>
  <c r="V38" i="1" s="1"/>
  <c r="V41" i="1" s="1"/>
  <c r="V54" i="1" s="1"/>
  <c r="W19" i="1"/>
  <c r="W25" i="1" s="1"/>
  <c r="W49" i="1"/>
  <c r="U25" i="1"/>
  <c r="U27" i="1" s="1"/>
  <c r="U38" i="1" s="1"/>
  <c r="U41" i="1" s="1"/>
  <c r="X9" i="1"/>
  <c r="Y17" i="1"/>
  <c r="AA2" i="1"/>
  <c r="Z46" i="1"/>
  <c r="Z39" i="1" s="1"/>
  <c r="Z14" i="1"/>
  <c r="Z13" i="1" s="1"/>
  <c r="Z12" i="1"/>
  <c r="Z11" i="1" s="1"/>
  <c r="Y45" i="1"/>
  <c r="Y50" i="1" s="1"/>
  <c r="X21" i="1"/>
  <c r="X37" i="1" s="1"/>
  <c r="Y6" i="1"/>
  <c r="Y8" i="1"/>
  <c r="Z4" i="1"/>
  <c r="U43" i="1" l="1"/>
  <c r="W36" i="1"/>
  <c r="U54" i="1"/>
  <c r="U42" i="1"/>
  <c r="U29" i="1"/>
  <c r="X19" i="1"/>
  <c r="X36" i="1" s="1"/>
  <c r="X49" i="1"/>
  <c r="Z17" i="1"/>
  <c r="Y9" i="1"/>
  <c r="Z8" i="1"/>
  <c r="AA4" i="1"/>
  <c r="Z6" i="1"/>
  <c r="AA14" i="1"/>
  <c r="AA13" i="1" s="1"/>
  <c r="AA46" i="1"/>
  <c r="AA39" i="1" s="1"/>
  <c r="AA12" i="1"/>
  <c r="AA11" i="1" s="1"/>
  <c r="AB2" i="1"/>
  <c r="Z45" i="1"/>
  <c r="Y21" i="1"/>
  <c r="Y37" i="1" s="1"/>
  <c r="V42" i="1"/>
  <c r="V43" i="1"/>
  <c r="W27" i="1"/>
  <c r="W38" i="1" s="1"/>
  <c r="V29" i="1"/>
  <c r="W41" i="1" l="1"/>
  <c r="X25" i="1"/>
  <c r="X27" i="1" s="1"/>
  <c r="X38" i="1" s="1"/>
  <c r="X41" i="1" s="1"/>
  <c r="Y19" i="1"/>
  <c r="Y36" i="1" s="1"/>
  <c r="Y49" i="1"/>
  <c r="Z9" i="1"/>
  <c r="W29" i="1"/>
  <c r="AB14" i="1"/>
  <c r="AB13" i="1" s="1"/>
  <c r="AB12" i="1"/>
  <c r="AB11" i="1" s="1"/>
  <c r="AB46" i="1"/>
  <c r="AB39" i="1" s="1"/>
  <c r="AC2" i="1"/>
  <c r="AA45" i="1"/>
  <c r="Z21" i="1"/>
  <c r="Z37" i="1" s="1"/>
  <c r="AA17" i="1"/>
  <c r="AA6" i="1"/>
  <c r="AB4" i="1"/>
  <c r="AA8" i="1"/>
  <c r="W54" i="1" l="1"/>
  <c r="W42" i="1"/>
  <c r="W43" i="1"/>
  <c r="Y25" i="1"/>
  <c r="Y27" i="1" s="1"/>
  <c r="Y38" i="1" s="1"/>
  <c r="Y41" i="1" s="1"/>
  <c r="X54" i="1"/>
  <c r="Y51" i="1"/>
  <c r="Y52" i="1" s="1"/>
  <c r="Y54" i="1" s="1"/>
  <c r="Z19" i="1"/>
  <c r="Z36" i="1" s="1"/>
  <c r="Z49" i="1"/>
  <c r="AA9" i="1"/>
  <c r="X29" i="1"/>
  <c r="AB45" i="1"/>
  <c r="AA21" i="1"/>
  <c r="AA37" i="1" s="1"/>
  <c r="AC12" i="1"/>
  <c r="AC11" i="1" s="1"/>
  <c r="AC46" i="1"/>
  <c r="AC39" i="1" s="1"/>
  <c r="AD2" i="1"/>
  <c r="AC14" i="1"/>
  <c r="AC13" i="1" s="1"/>
  <c r="AB6" i="1"/>
  <c r="AC4" i="1"/>
  <c r="AB8" i="1"/>
  <c r="AB17" i="1"/>
  <c r="X43" i="1"/>
  <c r="X42" i="1"/>
  <c r="Z25" i="1" l="1"/>
  <c r="Z27" i="1" s="1"/>
  <c r="Z38" i="1" s="1"/>
  <c r="Z41" i="1" s="1"/>
  <c r="D68" i="1"/>
  <c r="D69" i="1"/>
  <c r="AA19" i="1"/>
  <c r="AA36" i="1" s="1"/>
  <c r="AA49" i="1"/>
  <c r="AB9" i="1"/>
  <c r="AC17" i="1"/>
  <c r="Y43" i="1"/>
  <c r="E60" i="1" s="1"/>
  <c r="Y42" i="1"/>
  <c r="D60" i="1"/>
  <c r="F60" i="1" s="1"/>
  <c r="AC6" i="1"/>
  <c r="AD4" i="1"/>
  <c r="AC8" i="1"/>
  <c r="AD14" i="1"/>
  <c r="AD13" i="1" s="1"/>
  <c r="AD46" i="1"/>
  <c r="AD39" i="1" s="1"/>
  <c r="AD12" i="1"/>
  <c r="AD11" i="1" s="1"/>
  <c r="AE2" i="1"/>
  <c r="Y29" i="1"/>
  <c r="AC45" i="1"/>
  <c r="AB21" i="1"/>
  <c r="AB37" i="1" s="1"/>
  <c r="AA25" i="1" l="1"/>
  <c r="AA27" i="1" s="1"/>
  <c r="AA38" i="1" s="1"/>
  <c r="AA41" i="1" s="1"/>
  <c r="AA43" i="1" s="1"/>
  <c r="AB19" i="1"/>
  <c r="AB36" i="1" s="1"/>
  <c r="AB49" i="1"/>
  <c r="AC9" i="1"/>
  <c r="AD17" i="1"/>
  <c r="Z42" i="1"/>
  <c r="Z43" i="1"/>
  <c r="AD45" i="1"/>
  <c r="AC21" i="1"/>
  <c r="AC37" i="1" s="1"/>
  <c r="Z29" i="1"/>
  <c r="AE4" i="1"/>
  <c r="AD8" i="1"/>
  <c r="AD6" i="1"/>
  <c r="AE46" i="1"/>
  <c r="AE39" i="1" s="1"/>
  <c r="AF2" i="1"/>
  <c r="AE14" i="1"/>
  <c r="AE13" i="1" s="1"/>
  <c r="AE12" i="1"/>
  <c r="AE11" i="1" s="1"/>
  <c r="AA42" i="1" l="1"/>
  <c r="AA29" i="1"/>
  <c r="AB25" i="1"/>
  <c r="AB27" i="1" s="1"/>
  <c r="AB38" i="1" s="1"/>
  <c r="AB41" i="1" s="1"/>
  <c r="AC19" i="1"/>
  <c r="AC36" i="1" s="1"/>
  <c r="AC49" i="1"/>
  <c r="AD9" i="1"/>
  <c r="AE6" i="1"/>
  <c r="AF4" i="1"/>
  <c r="AE8" i="1"/>
  <c r="AF46" i="1"/>
  <c r="AF39" i="1" s="1"/>
  <c r="AF14" i="1"/>
  <c r="AF13" i="1" s="1"/>
  <c r="AG2" i="1"/>
  <c r="AF12" i="1"/>
  <c r="AF11" i="1" s="1"/>
  <c r="AE17" i="1"/>
  <c r="AE45" i="1"/>
  <c r="AD21" i="1"/>
  <c r="AD37" i="1" s="1"/>
  <c r="AC25" i="1" l="1"/>
  <c r="AC27" i="1" s="1"/>
  <c r="AC38" i="1" s="1"/>
  <c r="AC41" i="1" s="1"/>
  <c r="AC43" i="1" s="1"/>
  <c r="AD19" i="1"/>
  <c r="AD36" i="1" s="1"/>
  <c r="AD49" i="1"/>
  <c r="AF17" i="1"/>
  <c r="AE9" i="1"/>
  <c r="AF45" i="1"/>
  <c r="AE21" i="1"/>
  <c r="AE37" i="1" s="1"/>
  <c r="AG4" i="1"/>
  <c r="AF8" i="1"/>
  <c r="AF6" i="1"/>
  <c r="AG46" i="1"/>
  <c r="AG39" i="1" s="1"/>
  <c r="AG14" i="1"/>
  <c r="AG13" i="1" s="1"/>
  <c r="AH2" i="1"/>
  <c r="AG12" i="1"/>
  <c r="AG11" i="1" s="1"/>
  <c r="AB43" i="1"/>
  <c r="AB42" i="1"/>
  <c r="AB29" i="1"/>
  <c r="AD25" i="1" l="1"/>
  <c r="AD27" i="1" s="1"/>
  <c r="AD38" i="1" s="1"/>
  <c r="AD41" i="1" s="1"/>
  <c r="AD43" i="1" s="1"/>
  <c r="AC42" i="1"/>
  <c r="AC29" i="1"/>
  <c r="AE19" i="1"/>
  <c r="AE36" i="1" s="1"/>
  <c r="AE49" i="1"/>
  <c r="AF9" i="1"/>
  <c r="AG17" i="1"/>
  <c r="AH46" i="1"/>
  <c r="AH39" i="1" s="1"/>
  <c r="AH14" i="1"/>
  <c r="AH13" i="1" s="1"/>
  <c r="AH12" i="1"/>
  <c r="AH11" i="1" s="1"/>
  <c r="AI2" i="1"/>
  <c r="AG6" i="1"/>
  <c r="AH4" i="1"/>
  <c r="AG8" i="1"/>
  <c r="AG45" i="1"/>
  <c r="AF21" i="1"/>
  <c r="AF37" i="1" s="1"/>
  <c r="AD42" i="1" l="1"/>
  <c r="AD29" i="1"/>
  <c r="AE25" i="1"/>
  <c r="AE27" i="1" s="1"/>
  <c r="AE38" i="1" s="1"/>
  <c r="AE41" i="1" s="1"/>
  <c r="AE42" i="1" s="1"/>
  <c r="AF19" i="1"/>
  <c r="AF36" i="1" s="1"/>
  <c r="AF49" i="1"/>
  <c r="AH17" i="1"/>
  <c r="AG9" i="1"/>
  <c r="AH6" i="1"/>
  <c r="AI4" i="1"/>
  <c r="AH8" i="1"/>
  <c r="AH45" i="1"/>
  <c r="AG21" i="1"/>
  <c r="AG37" i="1" s="1"/>
  <c r="AI46" i="1"/>
  <c r="AI39" i="1" s="1"/>
  <c r="AI14" i="1"/>
  <c r="AI13" i="1" s="1"/>
  <c r="AI12" i="1"/>
  <c r="AI11" i="1" s="1"/>
  <c r="AJ2" i="1"/>
  <c r="AE29" i="1" l="1"/>
  <c r="AF25" i="1"/>
  <c r="AF27" i="1" s="1"/>
  <c r="AF38" i="1" s="1"/>
  <c r="AF41" i="1" s="1"/>
  <c r="AG19" i="1"/>
  <c r="AG36" i="1" s="1"/>
  <c r="AG49" i="1"/>
  <c r="AE43" i="1"/>
  <c r="AH9" i="1"/>
  <c r="AI45" i="1"/>
  <c r="AH21" i="1"/>
  <c r="AH37" i="1" s="1"/>
  <c r="AJ46" i="1"/>
  <c r="AJ39" i="1" s="1"/>
  <c r="AJ14" i="1"/>
  <c r="AJ13" i="1" s="1"/>
  <c r="AK2" i="1"/>
  <c r="AJ12" i="1"/>
  <c r="AJ11" i="1" s="1"/>
  <c r="AI17" i="1"/>
  <c r="AI6" i="1"/>
  <c r="AJ4" i="1"/>
  <c r="AI8" i="1"/>
  <c r="AG25" i="1" l="1"/>
  <c r="AG27" i="1" s="1"/>
  <c r="AG38" i="1" s="1"/>
  <c r="AG41" i="1" s="1"/>
  <c r="AH19" i="1"/>
  <c r="AH36" i="1" s="1"/>
  <c r="AH49" i="1"/>
  <c r="AF29" i="1"/>
  <c r="AI9" i="1"/>
  <c r="AK46" i="1"/>
  <c r="AK39" i="1" s="1"/>
  <c r="AK12" i="1"/>
  <c r="AK11" i="1" s="1"/>
  <c r="AL2" i="1"/>
  <c r="AK14" i="1"/>
  <c r="AK13" i="1" s="1"/>
  <c r="AF42" i="1"/>
  <c r="AF43" i="1"/>
  <c r="AJ6" i="1"/>
  <c r="AJ8" i="1"/>
  <c r="AK4" i="1"/>
  <c r="AJ45" i="1"/>
  <c r="AI21" i="1"/>
  <c r="AI37" i="1" s="1"/>
  <c r="AJ17" i="1"/>
  <c r="AH25" i="1" l="1"/>
  <c r="AH27" i="1" s="1"/>
  <c r="AH38" i="1" s="1"/>
  <c r="AH41" i="1" s="1"/>
  <c r="AI19" i="1"/>
  <c r="AI36" i="1" s="1"/>
  <c r="AI49" i="1"/>
  <c r="AK17" i="1"/>
  <c r="AJ9" i="1"/>
  <c r="AK45" i="1"/>
  <c r="AJ21" i="1"/>
  <c r="AJ37" i="1" s="1"/>
  <c r="AL46" i="1"/>
  <c r="AL39" i="1" s="1"/>
  <c r="AM2" i="1"/>
  <c r="AL12" i="1"/>
  <c r="AL11" i="1" s="1"/>
  <c r="AL14" i="1"/>
  <c r="AL13" i="1" s="1"/>
  <c r="AL4" i="1"/>
  <c r="AK6" i="1"/>
  <c r="AK8" i="1"/>
  <c r="AG42" i="1"/>
  <c r="AG43" i="1"/>
  <c r="AG29" i="1"/>
  <c r="AI25" i="1" l="1"/>
  <c r="AI27" i="1" s="1"/>
  <c r="AI38" i="1" s="1"/>
  <c r="AI41" i="1" s="1"/>
  <c r="AI42" i="1" s="1"/>
  <c r="AJ19" i="1"/>
  <c r="AJ36" i="1" s="1"/>
  <c r="AJ49" i="1"/>
  <c r="AK9" i="1"/>
  <c r="AH29" i="1"/>
  <c r="AM46" i="1"/>
  <c r="AM39" i="1" s="1"/>
  <c r="AM14" i="1"/>
  <c r="AM13" i="1" s="1"/>
  <c r="AN2" i="1"/>
  <c r="AM12" i="1"/>
  <c r="AM11" i="1" s="1"/>
  <c r="AH42" i="1"/>
  <c r="AH43" i="1"/>
  <c r="AL8" i="1"/>
  <c r="AM4" i="1"/>
  <c r="AL6" i="1"/>
  <c r="AL17" i="1"/>
  <c r="AL45" i="1"/>
  <c r="AK21" i="1"/>
  <c r="AK37" i="1" s="1"/>
  <c r="AI29" i="1" l="1"/>
  <c r="D61" i="1"/>
  <c r="F61" i="1" s="1"/>
  <c r="AI43" i="1"/>
  <c r="E61" i="1" s="1"/>
  <c r="AJ25" i="1"/>
  <c r="AJ27" i="1" s="1"/>
  <c r="AJ38" i="1" s="1"/>
  <c r="AJ41" i="1" s="1"/>
  <c r="AJ42" i="1" s="1"/>
  <c r="AK19" i="1"/>
  <c r="AK36" i="1" s="1"/>
  <c r="AK49" i="1"/>
  <c r="AL9" i="1"/>
  <c r="AM45" i="1"/>
  <c r="AL21" i="1"/>
  <c r="AL37" i="1" s="1"/>
  <c r="AM17" i="1"/>
  <c r="AN4" i="1"/>
  <c r="AM6" i="1"/>
  <c r="AM8" i="1"/>
  <c r="AN46" i="1"/>
  <c r="AN39" i="1" s="1"/>
  <c r="AN12" i="1"/>
  <c r="AN11" i="1" s="1"/>
  <c r="AO2" i="1"/>
  <c r="AN14" i="1"/>
  <c r="AN13" i="1" s="1"/>
  <c r="AJ43" i="1" l="1"/>
  <c r="AJ29" i="1"/>
  <c r="AK25" i="1"/>
  <c r="AK27" i="1" s="1"/>
  <c r="AK38" i="1" s="1"/>
  <c r="AK41" i="1" s="1"/>
  <c r="AK42" i="1" s="1"/>
  <c r="AL19" i="1"/>
  <c r="AL36" i="1" s="1"/>
  <c r="AL49" i="1"/>
  <c r="AN17" i="1"/>
  <c r="AM9" i="1"/>
  <c r="AN45" i="1"/>
  <c r="AM21" i="1"/>
  <c r="AM37" i="1" s="1"/>
  <c r="AN8" i="1"/>
  <c r="AN6" i="1"/>
  <c r="AO4" i="1"/>
  <c r="AO46" i="1"/>
  <c r="AO39" i="1" s="1"/>
  <c r="AP2" i="1"/>
  <c r="AO12" i="1"/>
  <c r="AO11" i="1" s="1"/>
  <c r="AO14" i="1"/>
  <c r="AO13" i="1" s="1"/>
  <c r="AK29" i="1" l="1"/>
  <c r="AK43" i="1"/>
  <c r="AL25" i="1"/>
  <c r="AL27" i="1" s="1"/>
  <c r="AL38" i="1" s="1"/>
  <c r="AL41" i="1" s="1"/>
  <c r="AM19" i="1"/>
  <c r="AM36" i="1" s="1"/>
  <c r="AM49" i="1"/>
  <c r="AN9" i="1"/>
  <c r="AO17" i="1"/>
  <c r="AP46" i="1"/>
  <c r="AP39" i="1" s="1"/>
  <c r="AQ2" i="1"/>
  <c r="AP12" i="1"/>
  <c r="AP11" i="1" s="1"/>
  <c r="AP14" i="1"/>
  <c r="AP13" i="1" s="1"/>
  <c r="AO6" i="1"/>
  <c r="AO8" i="1"/>
  <c r="AP4" i="1"/>
  <c r="AO45" i="1"/>
  <c r="AN21" i="1"/>
  <c r="AN37" i="1" s="1"/>
  <c r="AM25" i="1" l="1"/>
  <c r="AM27" i="1" s="1"/>
  <c r="AM38" i="1" s="1"/>
  <c r="AM41" i="1" s="1"/>
  <c r="AN19" i="1"/>
  <c r="AN36" i="1" s="1"/>
  <c r="AN49" i="1"/>
  <c r="AL29" i="1"/>
  <c r="AP17" i="1"/>
  <c r="AO9" i="1"/>
  <c r="AP45" i="1"/>
  <c r="AO21" i="1"/>
  <c r="AO37" i="1" s="1"/>
  <c r="AL43" i="1"/>
  <c r="AL42" i="1"/>
  <c r="AQ46" i="1"/>
  <c r="AQ39" i="1" s="1"/>
  <c r="AR2" i="1"/>
  <c r="AQ14" i="1"/>
  <c r="AQ13" i="1" s="1"/>
  <c r="AQ12" i="1"/>
  <c r="AQ11" i="1" s="1"/>
  <c r="AP6" i="1"/>
  <c r="AQ4" i="1"/>
  <c r="AP8" i="1"/>
  <c r="AO19" i="1" l="1"/>
  <c r="AO36" i="1" s="1"/>
  <c r="AO49" i="1"/>
  <c r="AN25" i="1"/>
  <c r="AN27" i="1" s="1"/>
  <c r="AN38" i="1" s="1"/>
  <c r="AN41" i="1" s="1"/>
  <c r="AN43" i="1" s="1"/>
  <c r="AM29" i="1"/>
  <c r="AP9" i="1"/>
  <c r="AR46" i="1"/>
  <c r="AR39" i="1" s="1"/>
  <c r="AR14" i="1"/>
  <c r="AR13" i="1" s="1"/>
  <c r="AR12" i="1"/>
  <c r="AR11" i="1" s="1"/>
  <c r="AS2" i="1"/>
  <c r="AQ45" i="1"/>
  <c r="AP21" i="1"/>
  <c r="AP37" i="1" s="1"/>
  <c r="AM43" i="1"/>
  <c r="AM42" i="1"/>
  <c r="AR4" i="1"/>
  <c r="AQ6" i="1"/>
  <c r="AQ8" i="1"/>
  <c r="AQ17" i="1"/>
  <c r="AO25" i="1" l="1"/>
  <c r="AO27" i="1" s="1"/>
  <c r="AO38" i="1" s="1"/>
  <c r="AO41" i="1" s="1"/>
  <c r="AN42" i="1"/>
  <c r="AP19" i="1"/>
  <c r="AP36" i="1" s="1"/>
  <c r="AP49" i="1"/>
  <c r="AN29" i="1"/>
  <c r="AR17" i="1"/>
  <c r="AQ9" i="1"/>
  <c r="AR8" i="1"/>
  <c r="AR6" i="1"/>
  <c r="AS4" i="1"/>
  <c r="AR45" i="1"/>
  <c r="AQ21" i="1"/>
  <c r="AQ37" i="1" s="1"/>
  <c r="AS46" i="1"/>
  <c r="AS39" i="1" s="1"/>
  <c r="AS12" i="1"/>
  <c r="AS11" i="1" s="1"/>
  <c r="AS14" i="1"/>
  <c r="AS13" i="1" s="1"/>
  <c r="AP25" i="1" l="1"/>
  <c r="AP27" i="1" s="1"/>
  <c r="AP38" i="1" s="1"/>
  <c r="AP41" i="1" s="1"/>
  <c r="AP42" i="1" s="1"/>
  <c r="AQ19" i="1"/>
  <c r="AQ36" i="1" s="1"/>
  <c r="AQ49" i="1"/>
  <c r="AS17" i="1"/>
  <c r="AO29" i="1"/>
  <c r="AR9" i="1"/>
  <c r="AS45" i="1"/>
  <c r="AS21" i="1" s="1"/>
  <c r="AR21" i="1"/>
  <c r="AR37" i="1" s="1"/>
  <c r="AS6" i="1"/>
  <c r="AS8" i="1"/>
  <c r="AO42" i="1"/>
  <c r="AO43" i="1"/>
  <c r="AP29" i="1" l="1"/>
  <c r="AP43" i="1"/>
  <c r="AQ25" i="1"/>
  <c r="AQ27" i="1" s="1"/>
  <c r="AQ38" i="1" s="1"/>
  <c r="AQ41" i="1" s="1"/>
  <c r="AR19" i="1"/>
  <c r="AR36" i="1" s="1"/>
  <c r="AR49" i="1"/>
  <c r="AS9" i="1"/>
  <c r="AS37" i="1"/>
  <c r="D55" i="1"/>
  <c r="AS19" i="1" l="1"/>
  <c r="AS36" i="1" s="1"/>
  <c r="AS49" i="1"/>
  <c r="AR25" i="1"/>
  <c r="AR27" i="1" s="1"/>
  <c r="AR38" i="1" s="1"/>
  <c r="AR41" i="1" s="1"/>
  <c r="AR42" i="1" s="1"/>
  <c r="AQ29" i="1"/>
  <c r="AQ42" i="1"/>
  <c r="AQ43" i="1"/>
  <c r="AS25" i="1" l="1"/>
  <c r="AS27" i="1" s="1"/>
  <c r="AS38" i="1" s="1"/>
  <c r="AS41" i="1" s="1"/>
  <c r="D63" i="1" s="1"/>
  <c r="AR29" i="1"/>
  <c r="AR43" i="1"/>
  <c r="AS42" i="1" l="1"/>
  <c r="AS29" i="1"/>
  <c r="D64" i="1"/>
  <c r="AS43" i="1"/>
</calcChain>
</file>

<file path=xl/sharedStrings.xml><?xml version="1.0" encoding="utf-8"?>
<sst xmlns="http://schemas.openxmlformats.org/spreadsheetml/2006/main" count="222" uniqueCount="162">
  <si>
    <t>Financing Structure:</t>
  </si>
  <si>
    <t>Equity IRR</t>
  </si>
  <si>
    <t>EBITDA</t>
  </si>
  <si>
    <t>Interest Expenses</t>
  </si>
  <si>
    <t>Interest Rate</t>
  </si>
  <si>
    <t>Depreciation</t>
  </si>
  <si>
    <t>EBT</t>
  </si>
  <si>
    <t>xxxxxxxxxxxxx</t>
  </si>
  <si>
    <t>Sales_Growth_Rate</t>
  </si>
  <si>
    <t>Investment_Valuation_Example!$F$34</t>
  </si>
  <si>
    <t>Par_Name_Inp</t>
  </si>
  <si>
    <t>Par_Loc_Inp</t>
  </si>
  <si>
    <t>TB_Low</t>
  </si>
  <si>
    <t>TB_Mean</t>
  </si>
  <si>
    <t>TB_High</t>
  </si>
  <si>
    <t>TB_StDev</t>
  </si>
  <si>
    <t>Distr_Type</t>
  </si>
  <si>
    <t>Par_Name_Out</t>
  </si>
  <si>
    <t>Par_Loc_Out</t>
  </si>
  <si>
    <t>TB_MC_Intervals</t>
  </si>
  <si>
    <t>TB_Decimals</t>
  </si>
  <si>
    <t>Res_Multi</t>
  </si>
  <si>
    <t>TB_MC_Trials</t>
  </si>
  <si>
    <t>TB_Contr_Val_Name</t>
  </si>
  <si>
    <t>TB_Contr_Val_Loc</t>
  </si>
  <si>
    <t>TB_Contr_Out_Name</t>
  </si>
  <si>
    <t>TB_Contr_Out_Loc</t>
  </si>
  <si>
    <t>TB_Int_1</t>
  </si>
  <si>
    <t>TB_Int_2</t>
  </si>
  <si>
    <t>TB_Int_3</t>
  </si>
  <si>
    <t>TB_Int_4</t>
  </si>
  <si>
    <t>TB_Int_5</t>
  </si>
  <si>
    <t>TB_SV_Intervals</t>
  </si>
  <si>
    <t>TB_Decimals_SV</t>
  </si>
  <si>
    <t>Res_Multi_SV</t>
  </si>
  <si>
    <t>TB_SV_Trials</t>
  </si>
  <si>
    <t>TB_Req_Yield</t>
  </si>
  <si>
    <t>Intervals</t>
  </si>
  <si>
    <t>NORMAL-D</t>
  </si>
  <si>
    <t>Price_Growth_Rate</t>
  </si>
  <si>
    <t>UNIFORM</t>
  </si>
  <si>
    <t>Var_Cost</t>
  </si>
  <si>
    <t>EBITDA_Multiple</t>
  </si>
  <si>
    <t>Enterprise_Value</t>
  </si>
  <si>
    <t>Cash Flow</t>
  </si>
  <si>
    <t>Units:</t>
  </si>
  <si>
    <t>Residential</t>
  </si>
  <si>
    <t>Commercial</t>
  </si>
  <si>
    <t>Area sqm:</t>
  </si>
  <si>
    <t>€/sqm</t>
  </si>
  <si>
    <t>TOTAL</t>
  </si>
  <si>
    <t>Net Cold Rent</t>
  </si>
  <si>
    <t>Bad Debt (1%)</t>
  </si>
  <si>
    <t>Operating Expenses:</t>
  </si>
  <si>
    <t>non-recoverable</t>
  </si>
  <si>
    <t>Utilities (2€/sqm + 2% Inflation)</t>
  </si>
  <si>
    <t>GCR €/sqm</t>
  </si>
  <si>
    <t>Gross Cold Rent</t>
  </si>
  <si>
    <t>Vacancy in %</t>
  </si>
  <si>
    <t>Income Loss on Vacancy</t>
  </si>
  <si>
    <t>Maintenance Expenses (10 €/sqm)</t>
  </si>
  <si>
    <t>Total Gross Price</t>
  </si>
  <si>
    <t>Equity financed Transaction</t>
  </si>
  <si>
    <t>LTV in %</t>
  </si>
  <si>
    <t>Equity financed Property</t>
  </si>
  <si>
    <t>Total Equity Contribution</t>
  </si>
  <si>
    <t>Credit Financing (Debt)</t>
  </si>
  <si>
    <t>Monthly Repayments</t>
  </si>
  <si>
    <t>Annual Repayments</t>
  </si>
  <si>
    <t>Debt Value</t>
  </si>
  <si>
    <t>Repayment</t>
  </si>
  <si>
    <t>Tax</t>
  </si>
  <si>
    <t>EAT</t>
  </si>
  <si>
    <t>Return on Total Investment</t>
  </si>
  <si>
    <t>Return on Equity Investment</t>
  </si>
  <si>
    <t>Annual CF</t>
  </si>
  <si>
    <t>IRR</t>
  </si>
  <si>
    <t>Annual Interest Y1</t>
  </si>
  <si>
    <t>Total Annual Debt Service</t>
  </si>
  <si>
    <t>Monthly Interest</t>
  </si>
  <si>
    <t>Total Monthly Debt Service</t>
  </si>
  <si>
    <t>Asset Yield Y1 (EBITDA/Investment)</t>
  </si>
  <si>
    <t>sqm / unit</t>
  </si>
  <si>
    <t>Rent / unit</t>
  </si>
  <si>
    <t>GCR p.m.</t>
  </si>
  <si>
    <t>GCR p.a.</t>
  </si>
  <si>
    <t>Total Interest</t>
  </si>
  <si>
    <t>Transfer Tax</t>
  </si>
  <si>
    <t>Agent</t>
  </si>
  <si>
    <t>Notary</t>
  </si>
  <si>
    <t>Other</t>
  </si>
  <si>
    <t>Net Price</t>
  </si>
  <si>
    <t>Best Case</t>
  </si>
  <si>
    <t>Worst Case</t>
  </si>
  <si>
    <t>Dividends Y1</t>
  </si>
  <si>
    <t>Dividends Y5</t>
  </si>
  <si>
    <t>Dividends Y10</t>
  </si>
  <si>
    <t>Dividends Y20</t>
  </si>
  <si>
    <t>Cash Multiplier 30y</t>
  </si>
  <si>
    <t>Maintenance Cost (€/sqm)</t>
  </si>
  <si>
    <t>Net_Price</t>
  </si>
  <si>
    <t>MaintRate</t>
  </si>
  <si>
    <t>RentGrowth</t>
  </si>
  <si>
    <t>Rental Growth</t>
  </si>
  <si>
    <t>RESULTS</t>
  </si>
  <si>
    <t>PROPERTY   DATA</t>
  </si>
  <si>
    <t>OPERATIONAL   PARAMETERS</t>
  </si>
  <si>
    <t>%/p.a.</t>
  </si>
  <si>
    <t>%</t>
  </si>
  <si>
    <t>Maintenance</t>
  </si>
  <si>
    <t>Administration</t>
  </si>
  <si>
    <t>Modernization/Repairs</t>
  </si>
  <si>
    <t>Standard Case</t>
  </si>
  <si>
    <t>Inflation</t>
  </si>
  <si>
    <t>Yield p.a.</t>
  </si>
  <si>
    <t>CF m.</t>
  </si>
  <si>
    <t>Administration Expenses (€/sqm)</t>
  </si>
  <si>
    <t>Debt Service Cover Ratio Y1</t>
  </si>
  <si>
    <t>IRR 30y Hold</t>
  </si>
  <si>
    <t>Buy-Out Exit</t>
  </si>
  <si>
    <t>Exit Year</t>
  </si>
  <si>
    <t>Exit Value NCRM</t>
  </si>
  <si>
    <t>annum</t>
  </si>
  <si>
    <t>annums</t>
  </si>
  <si>
    <t>Repayment Period</t>
  </si>
  <si>
    <t>Vacancy Actual</t>
  </si>
  <si>
    <t>Vacancy Goal</t>
  </si>
  <si>
    <t>Vacancy Transition Time</t>
  </si>
  <si>
    <t>Garages</t>
  </si>
  <si>
    <t>Parking Space</t>
  </si>
  <si>
    <t>REAL ESTATE INVESTMENT VALUATION</t>
  </si>
  <si>
    <t>Buy Out Valuation</t>
  </si>
  <si>
    <t>Exit Value</t>
  </si>
  <si>
    <t>NCRM</t>
  </si>
  <si>
    <t>Net Cold Rent Multiplier</t>
  </si>
  <si>
    <t>Exit Cash Flow</t>
  </si>
  <si>
    <t>NET CASH FLOW</t>
  </si>
  <si>
    <t>IRR Buy Out</t>
  </si>
  <si>
    <t>Remaining Debt Repayment</t>
  </si>
  <si>
    <t>Net Income from Sale</t>
  </si>
  <si>
    <t>Other Sales Expenses</t>
  </si>
  <si>
    <t>Cash Multiplier</t>
  </si>
  <si>
    <t>x</t>
  </si>
  <si>
    <t>PRICE</t>
  </si>
  <si>
    <t>P&amp;L</t>
  </si>
  <si>
    <t>by ADMIN STARCEVIC</t>
  </si>
  <si>
    <t>Buy Out Period</t>
  </si>
  <si>
    <t>sales</t>
  </si>
  <si>
    <t>v2022-05</t>
  </si>
  <si>
    <t>SCENARIO ANALYSIS</t>
  </si>
  <si>
    <t>Applied Scenario Data:</t>
  </si>
  <si>
    <t>DebtCoverRatio</t>
  </si>
  <si>
    <t>Div_Y1</t>
  </si>
  <si>
    <t>Cash_Multiplier</t>
  </si>
  <si>
    <t>Input Names</t>
  </si>
  <si>
    <t>Input Locations</t>
  </si>
  <si>
    <t>Result Names</t>
  </si>
  <si>
    <t>Result Locations</t>
  </si>
  <si>
    <t>LTV</t>
  </si>
  <si>
    <t>Exit_Year</t>
  </si>
  <si>
    <t>0,6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</si>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</sst>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_ ;\-#,##0\ 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sz val="14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7092BE"/>
        <bgColor indexed="64"/>
      </patternFill>
    </fill>
    <fill>
      <patternFill patternType="solid">
        <fgColor rgb="FF39567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0" borderId="0" xfId="1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165" fontId="3" fillId="3" borderId="0" xfId="1" applyNumberFormat="1" applyFont="1" applyFill="1" applyAlignment="1">
      <alignment vertical="center"/>
    </xf>
    <xf numFmtId="0" fontId="9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1" applyNumberFormat="1" applyFont="1" applyFill="1" applyAlignment="1">
      <alignment vertical="center"/>
    </xf>
    <xf numFmtId="164" fontId="11" fillId="4" borderId="0" xfId="1" applyNumberFormat="1" applyFont="1" applyFill="1" applyAlignment="1">
      <alignment vertical="center"/>
    </xf>
    <xf numFmtId="165" fontId="11" fillId="0" borderId="0" xfId="1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165" fontId="11" fillId="4" borderId="0" xfId="1" applyNumberFormat="1" applyFont="1" applyFill="1" applyBorder="1" applyAlignment="1">
      <alignment vertical="center"/>
    </xf>
    <xf numFmtId="164" fontId="11" fillId="4" borderId="0" xfId="1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165" fontId="11" fillId="4" borderId="2" xfId="1" applyNumberFormat="1" applyFont="1" applyFill="1" applyBorder="1" applyAlignment="1">
      <alignment vertical="center"/>
    </xf>
    <xf numFmtId="164" fontId="11" fillId="4" borderId="2" xfId="1" applyNumberFormat="1" applyFont="1" applyFill="1" applyBorder="1" applyAlignment="1">
      <alignment vertical="center"/>
    </xf>
    <xf numFmtId="165" fontId="11" fillId="0" borderId="2" xfId="1" applyNumberFormat="1" applyFont="1" applyBorder="1" applyAlignment="1">
      <alignment vertical="center"/>
    </xf>
    <xf numFmtId="165" fontId="11" fillId="0" borderId="2" xfId="0" applyNumberFormat="1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right" vertical="center"/>
    </xf>
    <xf numFmtId="0" fontId="7" fillId="7" borderId="9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165" fontId="11" fillId="0" borderId="0" xfId="1" applyNumberFormat="1" applyFont="1" applyFill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0" fontId="11" fillId="4" borderId="0" xfId="0" applyNumberFormat="1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167" fontId="10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/>
    </xf>
    <xf numFmtId="1" fontId="11" fillId="0" borderId="0" xfId="0" applyNumberFormat="1" applyFont="1" applyFill="1" applyAlignment="1">
      <alignment vertical="center"/>
    </xf>
    <xf numFmtId="166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9" fontId="11" fillId="4" borderId="0" xfId="0" applyNumberFormat="1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165" fontId="11" fillId="0" borderId="0" xfId="0" applyNumberFormat="1" applyFont="1" applyFill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5" fontId="10" fillId="0" borderId="9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4" fontId="11" fillId="0" borderId="0" xfId="0" applyNumberFormat="1" applyFont="1" applyAlignment="1">
      <alignment vertical="center"/>
    </xf>
    <xf numFmtId="10" fontId="11" fillId="0" borderId="0" xfId="2" applyNumberFormat="1" applyFont="1" applyAlignment="1">
      <alignment vertical="center"/>
    </xf>
    <xf numFmtId="0" fontId="4" fillId="7" borderId="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3" fillId="7" borderId="8" xfId="0" applyFont="1" applyFill="1" applyBorder="1" applyAlignment="1">
      <alignment horizontal="right" vertical="center"/>
    </xf>
    <xf numFmtId="0" fontId="13" fillId="7" borderId="9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" fontId="8" fillId="0" borderId="6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10" fontId="14" fillId="0" borderId="0" xfId="2" applyNumberFormat="1" applyFont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7" fillId="6" borderId="0" xfId="0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right" vertical="center"/>
    </xf>
    <xf numFmtId="9" fontId="3" fillId="4" borderId="0" xfId="0" applyNumberFormat="1" applyFont="1" applyFill="1" applyAlignment="1">
      <alignment vertical="center"/>
    </xf>
    <xf numFmtId="0" fontId="0" fillId="0" borderId="0" xfId="0" applyAlignment="1">
      <alignment horizontal="right"/>
    </xf>
    <xf numFmtId="0" fontId="18" fillId="8" borderId="0" xfId="0" applyFont="1" applyFill="1" applyAlignment="1">
      <alignment horizontal="right"/>
    </xf>
    <xf numFmtId="0" fontId="19" fillId="8" borderId="0" xfId="0" applyFont="1" applyFill="1"/>
    <xf numFmtId="0" fontId="19" fillId="8" borderId="0" xfId="0" applyFont="1" applyFill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9" borderId="0" xfId="0" applyFont="1" applyFill="1"/>
    <xf numFmtId="0" fontId="21" fillId="9" borderId="0" xfId="0" applyFont="1" applyFill="1"/>
    <xf numFmtId="0" fontId="22" fillId="9" borderId="4" xfId="0" applyFont="1" applyFill="1" applyBorder="1"/>
    <xf numFmtId="0" fontId="0" fillId="10" borderId="0" xfId="0" applyFill="1"/>
    <xf numFmtId="0" fontId="0" fillId="10" borderId="2" xfId="0" applyFill="1" applyBorder="1"/>
    <xf numFmtId="0" fontId="23" fillId="11" borderId="0" xfId="0" applyFont="1" applyFill="1"/>
    <xf numFmtId="3" fontId="0" fillId="12" borderId="0" xfId="0" applyNumberFormat="1" applyFill="1"/>
    <xf numFmtId="4" fontId="0" fillId="12" borderId="0" xfId="0" applyNumberFormat="1" applyFill="1"/>
    <xf numFmtId="10" fontId="0" fillId="12" borderId="0" xfId="0" applyNumberFormat="1" applyFill="1"/>
    <xf numFmtId="10" fontId="0" fillId="12" borderId="2" xfId="0" applyNumberFormat="1" applyFill="1" applyBorder="1"/>
    <xf numFmtId="10" fontId="23" fillId="12" borderId="0" xfId="0" applyNumberFormat="1" applyFont="1" applyFill="1"/>
    <xf numFmtId="4" fontId="23" fillId="1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63</xdr:row>
          <xdr:rowOff>0</xdr:rowOff>
        </xdr:from>
        <xdr:to>
          <xdr:col>4</xdr:col>
          <xdr:colOff>28575</xdr:colOff>
          <xdr:row>63</xdr:row>
          <xdr:rowOff>0</xdr:rowOff>
        </xdr:to>
        <xdr:sp macro="" textlink="">
          <xdr:nvSpPr>
            <xdr:cNvPr id="1119" name="Object 4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B1:AU71"/>
  <sheetViews>
    <sheetView showGridLines="0" tabSelected="1" zoomScaleNormal="100" workbookViewId="0">
      <selection activeCell="L13" sqref="L13"/>
    </sheetView>
  </sheetViews>
  <sheetFormatPr defaultColWidth="11.42578125" defaultRowHeight="12.75" x14ac:dyDescent="0.2"/>
  <cols>
    <col min="1" max="1" width="3" style="2" customWidth="1"/>
    <col min="2" max="2" width="20.140625" style="2" customWidth="1"/>
    <col min="3" max="10" width="10.7109375" style="2" customWidth="1"/>
    <col min="11" max="11" width="3.140625" style="2" customWidth="1"/>
    <col min="12" max="12" width="3.42578125" style="2" customWidth="1"/>
    <col min="13" max="13" width="34.85546875" style="2" customWidth="1"/>
    <col min="14" max="14" width="8.140625" style="2" customWidth="1"/>
    <col min="15" max="15" width="15.140625" style="2" customWidth="1"/>
    <col min="16" max="24" width="10.7109375" style="2" customWidth="1"/>
    <col min="25" max="16384" width="11.42578125" style="2"/>
  </cols>
  <sheetData>
    <row r="1" spans="2:45" ht="13.5" thickBot="1" x14ac:dyDescent="0.25"/>
    <row r="2" spans="2:45" ht="18.75" customHeight="1" x14ac:dyDescent="0.2">
      <c r="B2" s="10" t="s">
        <v>130</v>
      </c>
      <c r="C2" s="11"/>
      <c r="D2" s="11"/>
      <c r="E2" s="11"/>
      <c r="F2" s="11"/>
      <c r="G2" s="11"/>
      <c r="H2" s="11"/>
      <c r="I2" s="11"/>
      <c r="J2" s="109" t="s">
        <v>148</v>
      </c>
      <c r="K2" s="3"/>
      <c r="L2" s="3"/>
      <c r="M2" s="31" t="s">
        <v>144</v>
      </c>
      <c r="N2" s="32"/>
      <c r="O2" s="45">
        <v>0</v>
      </c>
      <c r="P2" s="45">
        <f t="shared" ref="P2:T3" si="0">O2+1</f>
        <v>1</v>
      </c>
      <c r="Q2" s="45">
        <f t="shared" si="0"/>
        <v>2</v>
      </c>
      <c r="R2" s="45">
        <f t="shared" si="0"/>
        <v>3</v>
      </c>
      <c r="S2" s="45">
        <f t="shared" si="0"/>
        <v>4</v>
      </c>
      <c r="T2" s="45">
        <f t="shared" si="0"/>
        <v>5</v>
      </c>
      <c r="U2" s="45">
        <f t="shared" ref="U2:AH2" si="1">T2+1</f>
        <v>6</v>
      </c>
      <c r="V2" s="45">
        <f t="shared" si="1"/>
        <v>7</v>
      </c>
      <c r="W2" s="45">
        <f t="shared" si="1"/>
        <v>8</v>
      </c>
      <c r="X2" s="45">
        <f t="shared" si="1"/>
        <v>9</v>
      </c>
      <c r="Y2" s="45">
        <f t="shared" si="1"/>
        <v>10</v>
      </c>
      <c r="Z2" s="45">
        <f t="shared" si="1"/>
        <v>11</v>
      </c>
      <c r="AA2" s="45">
        <f t="shared" si="1"/>
        <v>12</v>
      </c>
      <c r="AB2" s="45">
        <f t="shared" si="1"/>
        <v>13</v>
      </c>
      <c r="AC2" s="45">
        <f t="shared" si="1"/>
        <v>14</v>
      </c>
      <c r="AD2" s="45">
        <f t="shared" si="1"/>
        <v>15</v>
      </c>
      <c r="AE2" s="45">
        <f t="shared" si="1"/>
        <v>16</v>
      </c>
      <c r="AF2" s="45">
        <f t="shared" si="1"/>
        <v>17</v>
      </c>
      <c r="AG2" s="45">
        <f t="shared" si="1"/>
        <v>18</v>
      </c>
      <c r="AH2" s="45">
        <f t="shared" si="1"/>
        <v>19</v>
      </c>
      <c r="AI2" s="45">
        <f t="shared" ref="AI2:AS2" si="2">AH2+1</f>
        <v>20</v>
      </c>
      <c r="AJ2" s="45">
        <f t="shared" si="2"/>
        <v>21</v>
      </c>
      <c r="AK2" s="45">
        <f t="shared" si="2"/>
        <v>22</v>
      </c>
      <c r="AL2" s="45">
        <f t="shared" si="2"/>
        <v>23</v>
      </c>
      <c r="AM2" s="45">
        <f t="shared" si="2"/>
        <v>24</v>
      </c>
      <c r="AN2" s="45">
        <f t="shared" si="2"/>
        <v>25</v>
      </c>
      <c r="AO2" s="45">
        <f t="shared" si="2"/>
        <v>26</v>
      </c>
      <c r="AP2" s="45">
        <f t="shared" si="2"/>
        <v>27</v>
      </c>
      <c r="AQ2" s="45">
        <f t="shared" si="2"/>
        <v>28</v>
      </c>
      <c r="AR2" s="45">
        <f t="shared" si="2"/>
        <v>29</v>
      </c>
      <c r="AS2" s="45">
        <f t="shared" si="2"/>
        <v>30</v>
      </c>
    </row>
    <row r="3" spans="2:45" ht="16.5" thickBot="1" x14ac:dyDescent="0.25">
      <c r="B3" s="106" t="s">
        <v>145</v>
      </c>
      <c r="C3" s="12"/>
      <c r="D3" s="12"/>
      <c r="E3" s="12"/>
      <c r="F3" s="12"/>
      <c r="G3" s="12"/>
      <c r="H3" s="12"/>
      <c r="I3" s="12"/>
      <c r="J3" s="12"/>
      <c r="K3" s="3"/>
      <c r="L3" s="3"/>
      <c r="M3" s="33"/>
      <c r="N3" s="33"/>
      <c r="O3" s="46">
        <v>2022</v>
      </c>
      <c r="P3" s="46">
        <f>O3+1</f>
        <v>2023</v>
      </c>
      <c r="Q3" s="46">
        <f t="shared" si="0"/>
        <v>2024</v>
      </c>
      <c r="R3" s="46">
        <f t="shared" si="0"/>
        <v>2025</v>
      </c>
      <c r="S3" s="46">
        <f t="shared" si="0"/>
        <v>2026</v>
      </c>
      <c r="T3" s="46">
        <f t="shared" si="0"/>
        <v>2027</v>
      </c>
      <c r="U3" s="46">
        <f t="shared" ref="U3:AH3" si="3">T3+1</f>
        <v>2028</v>
      </c>
      <c r="V3" s="46">
        <f t="shared" si="3"/>
        <v>2029</v>
      </c>
      <c r="W3" s="46">
        <f t="shared" si="3"/>
        <v>2030</v>
      </c>
      <c r="X3" s="46">
        <f t="shared" si="3"/>
        <v>2031</v>
      </c>
      <c r="Y3" s="46">
        <f t="shared" si="3"/>
        <v>2032</v>
      </c>
      <c r="Z3" s="46">
        <f t="shared" si="3"/>
        <v>2033</v>
      </c>
      <c r="AA3" s="46">
        <f t="shared" si="3"/>
        <v>2034</v>
      </c>
      <c r="AB3" s="46">
        <f t="shared" si="3"/>
        <v>2035</v>
      </c>
      <c r="AC3" s="46">
        <f t="shared" si="3"/>
        <v>2036</v>
      </c>
      <c r="AD3" s="46">
        <f t="shared" si="3"/>
        <v>2037</v>
      </c>
      <c r="AE3" s="46">
        <f t="shared" si="3"/>
        <v>2038</v>
      </c>
      <c r="AF3" s="46">
        <f t="shared" si="3"/>
        <v>2039</v>
      </c>
      <c r="AG3" s="46">
        <f t="shared" si="3"/>
        <v>2040</v>
      </c>
      <c r="AH3" s="46">
        <f t="shared" si="3"/>
        <v>2041</v>
      </c>
      <c r="AI3" s="46">
        <f t="shared" ref="AI3:AS3" si="4">AH3+1</f>
        <v>2042</v>
      </c>
      <c r="AJ3" s="46">
        <f t="shared" si="4"/>
        <v>2043</v>
      </c>
      <c r="AK3" s="46">
        <f t="shared" si="4"/>
        <v>2044</v>
      </c>
      <c r="AL3" s="46">
        <f t="shared" si="4"/>
        <v>2045</v>
      </c>
      <c r="AM3" s="46">
        <f t="shared" si="4"/>
        <v>2046</v>
      </c>
      <c r="AN3" s="46">
        <f t="shared" si="4"/>
        <v>2047</v>
      </c>
      <c r="AO3" s="46">
        <f t="shared" si="4"/>
        <v>2048</v>
      </c>
      <c r="AP3" s="46">
        <f t="shared" si="4"/>
        <v>2049</v>
      </c>
      <c r="AQ3" s="46">
        <f t="shared" si="4"/>
        <v>2050</v>
      </c>
      <c r="AR3" s="46">
        <f t="shared" si="4"/>
        <v>2051</v>
      </c>
      <c r="AS3" s="46">
        <f t="shared" si="4"/>
        <v>2052</v>
      </c>
    </row>
    <row r="4" spans="2:45" ht="21" customHeight="1" x14ac:dyDescent="0.2">
      <c r="B4" s="75" t="s">
        <v>105</v>
      </c>
      <c r="C4" s="13"/>
      <c r="D4" s="14" t="s">
        <v>45</v>
      </c>
      <c r="E4" s="14" t="s">
        <v>48</v>
      </c>
      <c r="F4" s="14" t="s">
        <v>56</v>
      </c>
      <c r="G4" s="14" t="s">
        <v>84</v>
      </c>
      <c r="H4" s="14" t="s">
        <v>83</v>
      </c>
      <c r="I4" s="15" t="s">
        <v>85</v>
      </c>
      <c r="J4" s="14" t="s">
        <v>82</v>
      </c>
      <c r="L4" s="3"/>
      <c r="M4" s="6" t="s">
        <v>57</v>
      </c>
      <c r="N4" s="6"/>
      <c r="O4" s="48">
        <f>I9</f>
        <v>66420</v>
      </c>
      <c r="P4" s="48">
        <f>O4*(1+P5)</f>
        <v>67084.2</v>
      </c>
      <c r="Q4" s="48">
        <f t="shared" ref="Q4:AH4" si="5">P4*(1+Q5)</f>
        <v>67755.042000000001</v>
      </c>
      <c r="R4" s="48">
        <f t="shared" si="5"/>
        <v>68432.592420000001</v>
      </c>
      <c r="S4" s="48">
        <f t="shared" si="5"/>
        <v>69116.918344200007</v>
      </c>
      <c r="T4" s="48">
        <f t="shared" si="5"/>
        <v>69808.087527642012</v>
      </c>
      <c r="U4" s="48">
        <f t="shared" si="5"/>
        <v>70506.16840291844</v>
      </c>
      <c r="V4" s="48">
        <f t="shared" si="5"/>
        <v>71211.230086947631</v>
      </c>
      <c r="W4" s="48">
        <f t="shared" si="5"/>
        <v>71923.342387817102</v>
      </c>
      <c r="X4" s="48">
        <f t="shared" si="5"/>
        <v>72642.575811695278</v>
      </c>
      <c r="Y4" s="48">
        <f t="shared" si="5"/>
        <v>73369.00156981223</v>
      </c>
      <c r="Z4" s="48">
        <f t="shared" si="5"/>
        <v>74102.691585510358</v>
      </c>
      <c r="AA4" s="48">
        <f t="shared" si="5"/>
        <v>74843.718501365467</v>
      </c>
      <c r="AB4" s="48">
        <f t="shared" si="5"/>
        <v>75592.155686379119</v>
      </c>
      <c r="AC4" s="48">
        <f t="shared" si="5"/>
        <v>76348.077243242908</v>
      </c>
      <c r="AD4" s="48">
        <f t="shared" si="5"/>
        <v>77111.558015675342</v>
      </c>
      <c r="AE4" s="48">
        <f t="shared" si="5"/>
        <v>77882.673595832093</v>
      </c>
      <c r="AF4" s="48">
        <f t="shared" si="5"/>
        <v>78661.500331790419</v>
      </c>
      <c r="AG4" s="48">
        <f t="shared" si="5"/>
        <v>79448.115335108319</v>
      </c>
      <c r="AH4" s="48">
        <f t="shared" si="5"/>
        <v>80242.5964884594</v>
      </c>
      <c r="AI4" s="48">
        <f t="shared" ref="AI4:AS4" si="6">AH4*(1+AI5)</f>
        <v>81045.02245334399</v>
      </c>
      <c r="AJ4" s="48">
        <f t="shared" si="6"/>
        <v>81855.472677877435</v>
      </c>
      <c r="AK4" s="48">
        <f t="shared" si="6"/>
        <v>82674.027404656212</v>
      </c>
      <c r="AL4" s="48">
        <f t="shared" si="6"/>
        <v>83500.767678702774</v>
      </c>
      <c r="AM4" s="48">
        <f t="shared" si="6"/>
        <v>84335.775355489808</v>
      </c>
      <c r="AN4" s="48">
        <f t="shared" si="6"/>
        <v>85179.133109044706</v>
      </c>
      <c r="AO4" s="48">
        <f t="shared" si="6"/>
        <v>86030.924440135161</v>
      </c>
      <c r="AP4" s="48">
        <f t="shared" si="6"/>
        <v>86891.233684536506</v>
      </c>
      <c r="AQ4" s="48">
        <f t="shared" si="6"/>
        <v>87760.146021381879</v>
      </c>
      <c r="AR4" s="48">
        <f t="shared" si="6"/>
        <v>88637.747481595696</v>
      </c>
      <c r="AS4" s="48">
        <f t="shared" si="6"/>
        <v>89524.124956411659</v>
      </c>
    </row>
    <row r="5" spans="2:45" ht="18" customHeight="1" x14ac:dyDescent="0.2">
      <c r="B5" s="16" t="s">
        <v>46</v>
      </c>
      <c r="C5" s="16"/>
      <c r="D5" s="17">
        <v>8</v>
      </c>
      <c r="E5" s="18">
        <v>560</v>
      </c>
      <c r="F5" s="19">
        <v>5</v>
      </c>
      <c r="G5" s="20">
        <f>F5*E5</f>
        <v>2800</v>
      </c>
      <c r="H5" s="21">
        <f>G5/D5</f>
        <v>350</v>
      </c>
      <c r="I5" s="20">
        <f>G5*12</f>
        <v>33600</v>
      </c>
      <c r="J5" s="68">
        <f>E5/D5</f>
        <v>70</v>
      </c>
      <c r="L5" s="3"/>
      <c r="M5" s="105" t="s">
        <v>103</v>
      </c>
      <c r="N5" s="16"/>
      <c r="P5" s="50">
        <f>RentGrowth</f>
        <v>0.01</v>
      </c>
      <c r="Q5" s="50">
        <f t="shared" ref="Q5:AS5" si="7">$D$22</f>
        <v>0.01</v>
      </c>
      <c r="R5" s="50">
        <f t="shared" si="7"/>
        <v>0.01</v>
      </c>
      <c r="S5" s="50">
        <f t="shared" si="7"/>
        <v>0.01</v>
      </c>
      <c r="T5" s="50">
        <f t="shared" si="7"/>
        <v>0.01</v>
      </c>
      <c r="U5" s="50">
        <f t="shared" si="7"/>
        <v>0.01</v>
      </c>
      <c r="V5" s="50">
        <f t="shared" si="7"/>
        <v>0.01</v>
      </c>
      <c r="W5" s="50">
        <f t="shared" si="7"/>
        <v>0.01</v>
      </c>
      <c r="X5" s="50">
        <f t="shared" si="7"/>
        <v>0.01</v>
      </c>
      <c r="Y5" s="50">
        <f t="shared" si="7"/>
        <v>0.01</v>
      </c>
      <c r="Z5" s="50">
        <f t="shared" si="7"/>
        <v>0.01</v>
      </c>
      <c r="AA5" s="50">
        <f t="shared" si="7"/>
        <v>0.01</v>
      </c>
      <c r="AB5" s="50">
        <f t="shared" si="7"/>
        <v>0.01</v>
      </c>
      <c r="AC5" s="50">
        <f t="shared" si="7"/>
        <v>0.01</v>
      </c>
      <c r="AD5" s="50">
        <f t="shared" si="7"/>
        <v>0.01</v>
      </c>
      <c r="AE5" s="50">
        <f t="shared" si="7"/>
        <v>0.01</v>
      </c>
      <c r="AF5" s="50">
        <f t="shared" si="7"/>
        <v>0.01</v>
      </c>
      <c r="AG5" s="50">
        <f t="shared" si="7"/>
        <v>0.01</v>
      </c>
      <c r="AH5" s="50">
        <f t="shared" si="7"/>
        <v>0.01</v>
      </c>
      <c r="AI5" s="50">
        <f t="shared" si="7"/>
        <v>0.01</v>
      </c>
      <c r="AJ5" s="50">
        <f t="shared" si="7"/>
        <v>0.01</v>
      </c>
      <c r="AK5" s="50">
        <f t="shared" si="7"/>
        <v>0.01</v>
      </c>
      <c r="AL5" s="50">
        <f t="shared" si="7"/>
        <v>0.01</v>
      </c>
      <c r="AM5" s="50">
        <f t="shared" si="7"/>
        <v>0.01</v>
      </c>
      <c r="AN5" s="50">
        <f t="shared" si="7"/>
        <v>0.01</v>
      </c>
      <c r="AO5" s="50">
        <f t="shared" si="7"/>
        <v>0.01</v>
      </c>
      <c r="AP5" s="50">
        <f t="shared" si="7"/>
        <v>0.01</v>
      </c>
      <c r="AQ5" s="50">
        <f t="shared" si="7"/>
        <v>0.01</v>
      </c>
      <c r="AR5" s="50">
        <f t="shared" si="7"/>
        <v>0.01</v>
      </c>
      <c r="AS5" s="50">
        <f t="shared" si="7"/>
        <v>0.01</v>
      </c>
    </row>
    <row r="6" spans="2:45" ht="15" x14ac:dyDescent="0.2">
      <c r="B6" s="16" t="s">
        <v>47</v>
      </c>
      <c r="C6" s="16"/>
      <c r="D6" s="17">
        <v>1</v>
      </c>
      <c r="E6" s="18">
        <v>280</v>
      </c>
      <c r="F6" s="19">
        <v>7</v>
      </c>
      <c r="G6" s="20">
        <f>F6*E6</f>
        <v>1960</v>
      </c>
      <c r="H6" s="21">
        <f>G6/D6</f>
        <v>1960</v>
      </c>
      <c r="I6" s="20">
        <f>G6*12</f>
        <v>23520</v>
      </c>
      <c r="J6" s="68">
        <f>E6/D6</f>
        <v>280</v>
      </c>
      <c r="L6" s="3"/>
      <c r="M6" s="16" t="s">
        <v>59</v>
      </c>
      <c r="N6" s="16"/>
      <c r="O6" s="51">
        <f>-O4*D23</f>
        <v>-3321</v>
      </c>
      <c r="P6" s="51">
        <f t="shared" ref="P6:AH6" si="8">-P4*P7</f>
        <v>-3306.2927142857143</v>
      </c>
      <c r="Q6" s="51">
        <f t="shared" si="8"/>
        <v>-3290.9591828571429</v>
      </c>
      <c r="R6" s="51">
        <f t="shared" si="8"/>
        <v>-3274.9883515285715</v>
      </c>
      <c r="S6" s="51">
        <f t="shared" si="8"/>
        <v>-3258.3690076551434</v>
      </c>
      <c r="T6" s="51">
        <f t="shared" si="8"/>
        <v>-3241.0897780690934</v>
      </c>
      <c r="U6" s="51">
        <f t="shared" si="8"/>
        <v>-3223.1391269905571</v>
      </c>
      <c r="V6" s="51">
        <f t="shared" si="8"/>
        <v>-3204.5053539126434</v>
      </c>
      <c r="W6" s="51">
        <f t="shared" si="8"/>
        <v>-3236.5504074517694</v>
      </c>
      <c r="X6" s="51">
        <f t="shared" si="8"/>
        <v>-3268.9159115262873</v>
      </c>
      <c r="Y6" s="51">
        <f t="shared" si="8"/>
        <v>-3301.6050706415504</v>
      </c>
      <c r="Z6" s="51">
        <f t="shared" si="8"/>
        <v>-3334.621121347966</v>
      </c>
      <c r="AA6" s="51">
        <f t="shared" si="8"/>
        <v>-3367.9673325614458</v>
      </c>
      <c r="AB6" s="51">
        <f t="shared" si="8"/>
        <v>-3401.6470058870605</v>
      </c>
      <c r="AC6" s="51">
        <f t="shared" si="8"/>
        <v>-3435.6634759459307</v>
      </c>
      <c r="AD6" s="51">
        <f t="shared" si="8"/>
        <v>-3470.0201107053904</v>
      </c>
      <c r="AE6" s="51">
        <f t="shared" si="8"/>
        <v>-3504.7203118124439</v>
      </c>
      <c r="AF6" s="51">
        <f t="shared" si="8"/>
        <v>-3539.7675149305687</v>
      </c>
      <c r="AG6" s="51">
        <f t="shared" si="8"/>
        <v>-3575.1651900798743</v>
      </c>
      <c r="AH6" s="51">
        <f t="shared" si="8"/>
        <v>-3610.9168419806729</v>
      </c>
      <c r="AI6" s="51">
        <f t="shared" ref="AI6:AS6" si="9">-AI4*AI7</f>
        <v>-3647.0260104004797</v>
      </c>
      <c r="AJ6" s="51">
        <f t="shared" si="9"/>
        <v>-3683.4962705044845</v>
      </c>
      <c r="AK6" s="51">
        <f t="shared" si="9"/>
        <v>-3720.3312332095293</v>
      </c>
      <c r="AL6" s="51">
        <f t="shared" si="9"/>
        <v>-3757.5345455416245</v>
      </c>
      <c r="AM6" s="51">
        <f t="shared" si="9"/>
        <v>-3795.109890997041</v>
      </c>
      <c r="AN6" s="51">
        <f t="shared" si="9"/>
        <v>-3833.0609899070114</v>
      </c>
      <c r="AO6" s="51">
        <f t="shared" si="9"/>
        <v>-3871.391599806082</v>
      </c>
      <c r="AP6" s="51">
        <f t="shared" si="9"/>
        <v>-3910.1055158041427</v>
      </c>
      <c r="AQ6" s="51">
        <f t="shared" si="9"/>
        <v>-3949.2065709621843</v>
      </c>
      <c r="AR6" s="51">
        <f t="shared" si="9"/>
        <v>-3988.6986366718061</v>
      </c>
      <c r="AS6" s="51">
        <f t="shared" si="9"/>
        <v>-4028.5856230385243</v>
      </c>
    </row>
    <row r="7" spans="2:45" ht="15" x14ac:dyDescent="0.2">
      <c r="B7" s="16" t="s">
        <v>128</v>
      </c>
      <c r="C7" s="16"/>
      <c r="D7" s="17">
        <v>12</v>
      </c>
      <c r="E7" s="18"/>
      <c r="F7" s="19">
        <v>50</v>
      </c>
      <c r="G7" s="20">
        <f>F7*D7</f>
        <v>600</v>
      </c>
      <c r="H7" s="21">
        <f>G7/D7</f>
        <v>50</v>
      </c>
      <c r="I7" s="20">
        <f>G7*12</f>
        <v>7200</v>
      </c>
      <c r="J7" s="68"/>
      <c r="L7" s="3"/>
      <c r="M7" s="16" t="s">
        <v>58</v>
      </c>
      <c r="N7" s="16">
        <f>(VacancyGoal-VacancyRate)/VacancyTime</f>
        <v>-7.1428571428571494E-4</v>
      </c>
      <c r="O7" s="50">
        <f>VacancyRate</f>
        <v>0.05</v>
      </c>
      <c r="P7" s="50">
        <f t="shared" ref="P7:AS7" si="10">MAX(VacancyRate+(VacChRate*P2),VacancyGoal)</f>
        <v>4.9285714285714287E-2</v>
      </c>
      <c r="Q7" s="50">
        <f t="shared" si="10"/>
        <v>4.8571428571428571E-2</v>
      </c>
      <c r="R7" s="50">
        <f t="shared" si="10"/>
        <v>4.7857142857142855E-2</v>
      </c>
      <c r="S7" s="50">
        <f t="shared" si="10"/>
        <v>4.7142857142857146E-2</v>
      </c>
      <c r="T7" s="50">
        <f t="shared" si="10"/>
        <v>4.642857142857143E-2</v>
      </c>
      <c r="U7" s="50">
        <f t="shared" si="10"/>
        <v>4.5714285714285714E-2</v>
      </c>
      <c r="V7" s="50">
        <f t="shared" si="10"/>
        <v>4.4999999999999998E-2</v>
      </c>
      <c r="W7" s="50">
        <f t="shared" si="10"/>
        <v>4.4999999999999998E-2</v>
      </c>
      <c r="X7" s="50">
        <f t="shared" si="10"/>
        <v>4.4999999999999998E-2</v>
      </c>
      <c r="Y7" s="50">
        <f t="shared" si="10"/>
        <v>4.4999999999999998E-2</v>
      </c>
      <c r="Z7" s="50">
        <f t="shared" si="10"/>
        <v>4.4999999999999998E-2</v>
      </c>
      <c r="AA7" s="50">
        <f t="shared" si="10"/>
        <v>4.4999999999999998E-2</v>
      </c>
      <c r="AB7" s="50">
        <f t="shared" si="10"/>
        <v>4.4999999999999998E-2</v>
      </c>
      <c r="AC7" s="50">
        <f t="shared" si="10"/>
        <v>4.4999999999999998E-2</v>
      </c>
      <c r="AD7" s="50">
        <f t="shared" si="10"/>
        <v>4.4999999999999998E-2</v>
      </c>
      <c r="AE7" s="50">
        <f t="shared" si="10"/>
        <v>4.4999999999999998E-2</v>
      </c>
      <c r="AF7" s="50">
        <f t="shared" si="10"/>
        <v>4.4999999999999998E-2</v>
      </c>
      <c r="AG7" s="50">
        <f t="shared" si="10"/>
        <v>4.4999999999999998E-2</v>
      </c>
      <c r="AH7" s="50">
        <f t="shared" si="10"/>
        <v>4.4999999999999998E-2</v>
      </c>
      <c r="AI7" s="50">
        <f t="shared" si="10"/>
        <v>4.4999999999999998E-2</v>
      </c>
      <c r="AJ7" s="50">
        <f t="shared" si="10"/>
        <v>4.4999999999999998E-2</v>
      </c>
      <c r="AK7" s="50">
        <f t="shared" si="10"/>
        <v>4.4999999999999998E-2</v>
      </c>
      <c r="AL7" s="50">
        <f t="shared" si="10"/>
        <v>4.4999999999999998E-2</v>
      </c>
      <c r="AM7" s="50">
        <f t="shared" si="10"/>
        <v>4.4999999999999998E-2</v>
      </c>
      <c r="AN7" s="50">
        <f t="shared" si="10"/>
        <v>4.4999999999999998E-2</v>
      </c>
      <c r="AO7" s="50">
        <f t="shared" si="10"/>
        <v>4.4999999999999998E-2</v>
      </c>
      <c r="AP7" s="50">
        <f t="shared" si="10"/>
        <v>4.4999999999999998E-2</v>
      </c>
      <c r="AQ7" s="50">
        <f t="shared" si="10"/>
        <v>4.4999999999999998E-2</v>
      </c>
      <c r="AR7" s="50">
        <f t="shared" si="10"/>
        <v>4.4999999999999998E-2</v>
      </c>
      <c r="AS7" s="50">
        <f t="shared" si="10"/>
        <v>4.4999999999999998E-2</v>
      </c>
    </row>
    <row r="8" spans="2:45" ht="15.75" thickBot="1" x14ac:dyDescent="0.25">
      <c r="B8" s="25" t="s">
        <v>129</v>
      </c>
      <c r="C8" s="25"/>
      <c r="D8" s="26">
        <v>7</v>
      </c>
      <c r="E8" s="27"/>
      <c r="F8" s="28">
        <v>25</v>
      </c>
      <c r="G8" s="29">
        <f>F8*D8</f>
        <v>175</v>
      </c>
      <c r="H8" s="30">
        <f>G8/D8</f>
        <v>25</v>
      </c>
      <c r="I8" s="29">
        <f>G8*12</f>
        <v>2100</v>
      </c>
      <c r="J8" s="89"/>
      <c r="L8" s="4"/>
      <c r="M8" s="16" t="s">
        <v>52</v>
      </c>
      <c r="N8" s="16"/>
      <c r="O8" s="51">
        <f>-O4*1%</f>
        <v>-664.2</v>
      </c>
      <c r="P8" s="51">
        <f t="shared" ref="P8:AH8" si="11">-P4*1%</f>
        <v>-670.84199999999998</v>
      </c>
      <c r="Q8" s="51">
        <f t="shared" si="11"/>
        <v>-677.55042000000003</v>
      </c>
      <c r="R8" s="51">
        <f t="shared" si="11"/>
        <v>-684.32592420000003</v>
      </c>
      <c r="S8" s="51">
        <f t="shared" si="11"/>
        <v>-691.16918344200008</v>
      </c>
      <c r="T8" s="51">
        <f t="shared" si="11"/>
        <v>-698.0808752764201</v>
      </c>
      <c r="U8" s="51">
        <f t="shared" si="11"/>
        <v>-705.06168402918445</v>
      </c>
      <c r="V8" s="51">
        <f t="shared" si="11"/>
        <v>-712.11230086947637</v>
      </c>
      <c r="W8" s="51">
        <f t="shared" si="11"/>
        <v>-719.23342387817104</v>
      </c>
      <c r="X8" s="51">
        <f t="shared" si="11"/>
        <v>-726.42575811695281</v>
      </c>
      <c r="Y8" s="51">
        <f t="shared" si="11"/>
        <v>-733.69001569812235</v>
      </c>
      <c r="Z8" s="51">
        <f t="shared" si="11"/>
        <v>-741.02691585510354</v>
      </c>
      <c r="AA8" s="51">
        <f t="shared" si="11"/>
        <v>-748.4371850136547</v>
      </c>
      <c r="AB8" s="51">
        <f t="shared" si="11"/>
        <v>-755.92155686379124</v>
      </c>
      <c r="AC8" s="51">
        <f t="shared" si="11"/>
        <v>-763.48077243242915</v>
      </c>
      <c r="AD8" s="51">
        <f t="shared" si="11"/>
        <v>-771.11558015675348</v>
      </c>
      <c r="AE8" s="51">
        <f t="shared" si="11"/>
        <v>-778.82673595832091</v>
      </c>
      <c r="AF8" s="51">
        <f t="shared" si="11"/>
        <v>-786.61500331790421</v>
      </c>
      <c r="AG8" s="51">
        <f t="shared" si="11"/>
        <v>-794.48115335108321</v>
      </c>
      <c r="AH8" s="51">
        <f t="shared" si="11"/>
        <v>-802.42596488459401</v>
      </c>
      <c r="AI8" s="51">
        <f t="shared" ref="AI8:AS8" si="12">-AI4*1%</f>
        <v>-810.45022453343995</v>
      </c>
      <c r="AJ8" s="51">
        <f t="shared" si="12"/>
        <v>-818.55472677877435</v>
      </c>
      <c r="AK8" s="51">
        <f t="shared" si="12"/>
        <v>-826.74027404656215</v>
      </c>
      <c r="AL8" s="51">
        <f t="shared" si="12"/>
        <v>-835.00767678702778</v>
      </c>
      <c r="AM8" s="51">
        <f t="shared" si="12"/>
        <v>-843.35775355489807</v>
      </c>
      <c r="AN8" s="51">
        <f t="shared" si="12"/>
        <v>-851.7913310904471</v>
      </c>
      <c r="AO8" s="51">
        <f t="shared" si="12"/>
        <v>-860.30924440135163</v>
      </c>
      <c r="AP8" s="51">
        <f t="shared" si="12"/>
        <v>-868.91233684536508</v>
      </c>
      <c r="AQ8" s="51">
        <f t="shared" si="12"/>
        <v>-877.60146021381877</v>
      </c>
      <c r="AR8" s="51">
        <f t="shared" si="12"/>
        <v>-886.37747481595693</v>
      </c>
      <c r="AS8" s="51">
        <f t="shared" si="12"/>
        <v>-895.24124956411663</v>
      </c>
    </row>
    <row r="9" spans="2:45" ht="16.5" thickBot="1" x14ac:dyDescent="0.25">
      <c r="B9" s="5" t="s">
        <v>50</v>
      </c>
      <c r="C9" s="6"/>
      <c r="D9" s="6">
        <f>SUM(D5:D8)</f>
        <v>28</v>
      </c>
      <c r="E9" s="7">
        <f>SUM(E5:E8)</f>
        <v>840</v>
      </c>
      <c r="F9" s="8">
        <f>G9/E9</f>
        <v>6.5892857142857144</v>
      </c>
      <c r="G9" s="7">
        <f>SUM(G5:G8)</f>
        <v>5535</v>
      </c>
      <c r="I9" s="7">
        <f>SUM(I5:I8)</f>
        <v>66420</v>
      </c>
      <c r="K9" s="3"/>
      <c r="L9" s="3"/>
      <c r="M9" s="39" t="s">
        <v>51</v>
      </c>
      <c r="N9" s="40"/>
      <c r="O9" s="47">
        <f t="shared" ref="O9:AS9" si="13">O4+O6+O8</f>
        <v>62434.8</v>
      </c>
      <c r="P9" s="47">
        <f t="shared" si="13"/>
        <v>63107.065285714285</v>
      </c>
      <c r="Q9" s="47">
        <f t="shared" si="13"/>
        <v>63786.532397142859</v>
      </c>
      <c r="R9" s="47">
        <f t="shared" si="13"/>
        <v>64473.278144271433</v>
      </c>
      <c r="S9" s="47">
        <f t="shared" si="13"/>
        <v>65167.380153102866</v>
      </c>
      <c r="T9" s="47">
        <f t="shared" si="13"/>
        <v>65868.916874296512</v>
      </c>
      <c r="U9" s="47">
        <f t="shared" si="13"/>
        <v>66577.96759189869</v>
      </c>
      <c r="V9" s="47">
        <f t="shared" si="13"/>
        <v>67294.612432165522</v>
      </c>
      <c r="W9" s="47">
        <f t="shared" si="13"/>
        <v>67967.558556487158</v>
      </c>
      <c r="X9" s="47">
        <f t="shared" si="13"/>
        <v>68647.234142052039</v>
      </c>
      <c r="Y9" s="47">
        <f t="shared" si="13"/>
        <v>69333.706483472546</v>
      </c>
      <c r="Z9" s="47">
        <f t="shared" si="13"/>
        <v>70027.04354830728</v>
      </c>
      <c r="AA9" s="47">
        <f t="shared" si="13"/>
        <v>70727.313983790373</v>
      </c>
      <c r="AB9" s="47">
        <f t="shared" si="13"/>
        <v>71434.587123628269</v>
      </c>
      <c r="AC9" s="47">
        <f t="shared" si="13"/>
        <v>72148.932994864546</v>
      </c>
      <c r="AD9" s="47">
        <f t="shared" si="13"/>
        <v>72870.422324813204</v>
      </c>
      <c r="AE9" s="47">
        <f t="shared" si="13"/>
        <v>73599.126548061322</v>
      </c>
      <c r="AF9" s="47">
        <f t="shared" si="13"/>
        <v>74335.117813541947</v>
      </c>
      <c r="AG9" s="47">
        <f t="shared" si="13"/>
        <v>75078.468991677364</v>
      </c>
      <c r="AH9" s="47">
        <f t="shared" si="13"/>
        <v>75829.253681594142</v>
      </c>
      <c r="AI9" s="47">
        <f t="shared" si="13"/>
        <v>76587.546218410062</v>
      </c>
      <c r="AJ9" s="47">
        <f t="shared" si="13"/>
        <v>77353.421680594169</v>
      </c>
      <c r="AK9" s="47">
        <f t="shared" si="13"/>
        <v>78126.955897400127</v>
      </c>
      <c r="AL9" s="47">
        <f t="shared" si="13"/>
        <v>78908.225456374115</v>
      </c>
      <c r="AM9" s="47">
        <f t="shared" si="13"/>
        <v>79697.307710937865</v>
      </c>
      <c r="AN9" s="47">
        <f t="shared" si="13"/>
        <v>80494.280788047254</v>
      </c>
      <c r="AO9" s="47">
        <f t="shared" si="13"/>
        <v>81299.223595927731</v>
      </c>
      <c r="AP9" s="47">
        <f t="shared" si="13"/>
        <v>82112.215831887006</v>
      </c>
      <c r="AQ9" s="47">
        <f t="shared" si="13"/>
        <v>82933.33799020588</v>
      </c>
      <c r="AR9" s="47">
        <f t="shared" si="13"/>
        <v>83762.671370107928</v>
      </c>
      <c r="AS9" s="47">
        <f t="shared" si="13"/>
        <v>84600.298083809015</v>
      </c>
    </row>
    <row r="10" spans="2:45" x14ac:dyDescent="0.2">
      <c r="K10" s="4"/>
      <c r="L10" s="4"/>
    </row>
    <row r="11" spans="2:45" ht="15.75" x14ac:dyDescent="0.2">
      <c r="B11" s="38" t="s">
        <v>150</v>
      </c>
      <c r="D11" s="115" t="s">
        <v>161</v>
      </c>
      <c r="E11" s="116"/>
      <c r="F11" s="117"/>
      <c r="K11" s="7"/>
      <c r="L11" s="7"/>
      <c r="M11" s="16" t="s">
        <v>54</v>
      </c>
      <c r="N11" s="16"/>
      <c r="O11" s="51">
        <f>-O12*D23</f>
        <v>-1008</v>
      </c>
      <c r="P11" s="51">
        <f t="shared" ref="P11:AS11" si="14">-P12*P7</f>
        <v>-1013.4720000000001</v>
      </c>
      <c r="Q11" s="51">
        <f t="shared" si="14"/>
        <v>-1018.75968</v>
      </c>
      <c r="R11" s="51">
        <f t="shared" si="14"/>
        <v>-1023.8534784000001</v>
      </c>
      <c r="S11" s="51">
        <f t="shared" si="14"/>
        <v>-1028.7435248640002</v>
      </c>
      <c r="T11" s="51">
        <f t="shared" si="14"/>
        <v>-1033.4196317952001</v>
      </c>
      <c r="U11" s="51">
        <f t="shared" si="14"/>
        <v>-1037.8712855937024</v>
      </c>
      <c r="V11" s="51">
        <f t="shared" si="14"/>
        <v>-1042.0876376914266</v>
      </c>
      <c r="W11" s="51">
        <f t="shared" si="14"/>
        <v>-1062.9293904452554</v>
      </c>
      <c r="X11" s="51">
        <f t="shared" si="14"/>
        <v>-1084.1879782541605</v>
      </c>
      <c r="Y11" s="51">
        <f t="shared" si="14"/>
        <v>-1105.8717378192437</v>
      </c>
      <c r="Z11" s="51">
        <f t="shared" si="14"/>
        <v>-1127.9891725756286</v>
      </c>
      <c r="AA11" s="51">
        <f t="shared" si="14"/>
        <v>-1150.548956027141</v>
      </c>
      <c r="AB11" s="51">
        <f t="shared" si="14"/>
        <v>-1173.5599351476837</v>
      </c>
      <c r="AC11" s="51">
        <f t="shared" si="14"/>
        <v>-1197.0311338506378</v>
      </c>
      <c r="AD11" s="51">
        <f t="shared" si="14"/>
        <v>-1220.9717565276501</v>
      </c>
      <c r="AE11" s="51">
        <f t="shared" si="14"/>
        <v>-1245.3911916582033</v>
      </c>
      <c r="AF11" s="51">
        <f t="shared" si="14"/>
        <v>-1270.2990154913673</v>
      </c>
      <c r="AG11" s="51">
        <f t="shared" si="14"/>
        <v>-1295.7049958011946</v>
      </c>
      <c r="AH11" s="51">
        <f t="shared" si="14"/>
        <v>-1321.6190957172182</v>
      </c>
      <c r="AI11" s="51">
        <f t="shared" si="14"/>
        <v>-1348.0514776315629</v>
      </c>
      <c r="AJ11" s="51">
        <f t="shared" si="14"/>
        <v>-1375.0125071841942</v>
      </c>
      <c r="AK11" s="51">
        <f t="shared" si="14"/>
        <v>-1402.512757327878</v>
      </c>
      <c r="AL11" s="51">
        <f t="shared" si="14"/>
        <v>-1430.5630124744353</v>
      </c>
      <c r="AM11" s="51">
        <f t="shared" si="14"/>
        <v>-1459.1742727239239</v>
      </c>
      <c r="AN11" s="51">
        <f t="shared" si="14"/>
        <v>-1488.3577581784025</v>
      </c>
      <c r="AO11" s="51">
        <f t="shared" si="14"/>
        <v>-1518.1249133419708</v>
      </c>
      <c r="AP11" s="51">
        <f t="shared" si="14"/>
        <v>-1548.4874116088097</v>
      </c>
      <c r="AQ11" s="51">
        <f t="shared" si="14"/>
        <v>-1579.4571598409866</v>
      </c>
      <c r="AR11" s="51">
        <f t="shared" si="14"/>
        <v>-1611.046303037806</v>
      </c>
      <c r="AS11" s="51">
        <f t="shared" si="14"/>
        <v>-1643.2672290985622</v>
      </c>
    </row>
    <row r="12" spans="2:45" ht="15" x14ac:dyDescent="0.2">
      <c r="M12" s="60" t="s">
        <v>55</v>
      </c>
      <c r="N12" s="60"/>
      <c r="O12" s="68">
        <f t="shared" ref="O12:AS12" si="15">2*(1+2%)^O2*$E$9*12</f>
        <v>20160</v>
      </c>
      <c r="P12" s="68">
        <f t="shared" si="15"/>
        <v>20563.2</v>
      </c>
      <c r="Q12" s="68">
        <f t="shared" si="15"/>
        <v>20974.464</v>
      </c>
      <c r="R12" s="68">
        <f t="shared" si="15"/>
        <v>21393.953280000002</v>
      </c>
      <c r="S12" s="68">
        <f t="shared" si="15"/>
        <v>21821.8323456</v>
      </c>
      <c r="T12" s="68">
        <f t="shared" si="15"/>
        <v>22258.268992511999</v>
      </c>
      <c r="U12" s="68">
        <f t="shared" si="15"/>
        <v>22703.434372362241</v>
      </c>
      <c r="V12" s="68">
        <f t="shared" si="15"/>
        <v>23157.503059809482</v>
      </c>
      <c r="W12" s="68">
        <f t="shared" si="15"/>
        <v>23620.653121005675</v>
      </c>
      <c r="X12" s="68">
        <f t="shared" si="15"/>
        <v>24093.066183425788</v>
      </c>
      <c r="Y12" s="68">
        <f t="shared" si="15"/>
        <v>24574.927507094304</v>
      </c>
      <c r="Z12" s="68">
        <f t="shared" si="15"/>
        <v>25066.426057236189</v>
      </c>
      <c r="AA12" s="68">
        <f t="shared" si="15"/>
        <v>25567.754578380915</v>
      </c>
      <c r="AB12" s="68">
        <f t="shared" si="15"/>
        <v>26079.109669948528</v>
      </c>
      <c r="AC12" s="68">
        <f t="shared" si="15"/>
        <v>26600.691863347507</v>
      </c>
      <c r="AD12" s="68">
        <f t="shared" si="15"/>
        <v>27132.705700614446</v>
      </c>
      <c r="AE12" s="68">
        <f t="shared" si="15"/>
        <v>27675.35981462674</v>
      </c>
      <c r="AF12" s="68">
        <f t="shared" si="15"/>
        <v>28228.867010919275</v>
      </c>
      <c r="AG12" s="68">
        <f t="shared" si="15"/>
        <v>28793.444351137659</v>
      </c>
      <c r="AH12" s="68">
        <f t="shared" si="15"/>
        <v>29369.313238160408</v>
      </c>
      <c r="AI12" s="68">
        <f t="shared" si="15"/>
        <v>29956.69950292362</v>
      </c>
      <c r="AJ12" s="68">
        <f t="shared" si="15"/>
        <v>30555.833492982092</v>
      </c>
      <c r="AK12" s="68">
        <f t="shared" si="15"/>
        <v>31166.950162841735</v>
      </c>
      <c r="AL12" s="68">
        <f t="shared" si="15"/>
        <v>31790.289166098562</v>
      </c>
      <c r="AM12" s="68">
        <f t="shared" si="15"/>
        <v>32426.094949420534</v>
      </c>
      <c r="AN12" s="68">
        <f t="shared" si="15"/>
        <v>33074.616848408943</v>
      </c>
      <c r="AO12" s="68">
        <f t="shared" si="15"/>
        <v>33736.109185377129</v>
      </c>
      <c r="AP12" s="68">
        <f t="shared" si="15"/>
        <v>34410.831369084663</v>
      </c>
      <c r="AQ12" s="68">
        <f t="shared" si="15"/>
        <v>35099.047996466368</v>
      </c>
      <c r="AR12" s="68">
        <f t="shared" si="15"/>
        <v>35801.02895639569</v>
      </c>
      <c r="AS12" s="68">
        <f t="shared" si="15"/>
        <v>36517.049535523605</v>
      </c>
    </row>
    <row r="13" spans="2:45" ht="18.75" x14ac:dyDescent="0.2">
      <c r="B13" s="34" t="s">
        <v>143</v>
      </c>
      <c r="C13" s="35"/>
      <c r="D13" s="35"/>
      <c r="E13" s="36" t="s">
        <v>133</v>
      </c>
      <c r="F13" s="37" t="s">
        <v>49</v>
      </c>
      <c r="M13" s="16" t="s">
        <v>60</v>
      </c>
      <c r="N13" s="16"/>
      <c r="O13" s="42">
        <f>-D26*$E$9</f>
        <v>-16800</v>
      </c>
      <c r="P13" s="42">
        <f t="shared" ref="P13:AS13" si="16">-P14*$E$9</f>
        <v>-17136</v>
      </c>
      <c r="Q13" s="42">
        <f t="shared" si="16"/>
        <v>-17478.72</v>
      </c>
      <c r="R13" s="42">
        <f t="shared" si="16"/>
        <v>-17828.294399999999</v>
      </c>
      <c r="S13" s="42">
        <f t="shared" si="16"/>
        <v>-18184.860288</v>
      </c>
      <c r="T13" s="42">
        <f t="shared" si="16"/>
        <v>-18548.557493760003</v>
      </c>
      <c r="U13" s="42">
        <f t="shared" si="16"/>
        <v>-18919.528643635203</v>
      </c>
      <c r="V13" s="42">
        <f t="shared" si="16"/>
        <v>-19297.919216507904</v>
      </c>
      <c r="W13" s="42">
        <f t="shared" si="16"/>
        <v>-19683.877600838059</v>
      </c>
      <c r="X13" s="42">
        <f t="shared" si="16"/>
        <v>-20077.55515285482</v>
      </c>
      <c r="Y13" s="42">
        <f t="shared" si="16"/>
        <v>-20479.10625591192</v>
      </c>
      <c r="Z13" s="42">
        <f t="shared" si="16"/>
        <v>-20888.688381030155</v>
      </c>
      <c r="AA13" s="42">
        <f t="shared" si="16"/>
        <v>-21306.46214865076</v>
      </c>
      <c r="AB13" s="42">
        <f t="shared" si="16"/>
        <v>-21732.591391623777</v>
      </c>
      <c r="AC13" s="42">
        <f t="shared" si="16"/>
        <v>-22167.24321945625</v>
      </c>
      <c r="AD13" s="42">
        <f t="shared" si="16"/>
        <v>-22610.58808384537</v>
      </c>
      <c r="AE13" s="42">
        <f t="shared" si="16"/>
        <v>-23062.799845522281</v>
      </c>
      <c r="AF13" s="42">
        <f t="shared" si="16"/>
        <v>-23524.055842432728</v>
      </c>
      <c r="AG13" s="42">
        <f t="shared" si="16"/>
        <v>-23994.536959281384</v>
      </c>
      <c r="AH13" s="42">
        <f t="shared" si="16"/>
        <v>-24474.42769846701</v>
      </c>
      <c r="AI13" s="42">
        <f t="shared" si="16"/>
        <v>-24963.916252436353</v>
      </c>
      <c r="AJ13" s="42">
        <f t="shared" si="16"/>
        <v>-25463.194577485076</v>
      </c>
      <c r="AK13" s="42">
        <f t="shared" si="16"/>
        <v>-25972.45846903478</v>
      </c>
      <c r="AL13" s="42">
        <f t="shared" si="16"/>
        <v>-26491.907638415469</v>
      </c>
      <c r="AM13" s="42">
        <f t="shared" si="16"/>
        <v>-27021.745791183785</v>
      </c>
      <c r="AN13" s="42">
        <f t="shared" si="16"/>
        <v>-27562.180707007457</v>
      </c>
      <c r="AO13" s="42">
        <f t="shared" si="16"/>
        <v>-28113.42432114761</v>
      </c>
      <c r="AP13" s="42">
        <f t="shared" si="16"/>
        <v>-28675.692807570558</v>
      </c>
      <c r="AQ13" s="42">
        <f t="shared" si="16"/>
        <v>-29249.206663721969</v>
      </c>
      <c r="AR13" s="42">
        <f t="shared" si="16"/>
        <v>-29834.190796996405</v>
      </c>
      <c r="AS13" s="42">
        <f t="shared" si="16"/>
        <v>-30430.874612936339</v>
      </c>
    </row>
    <row r="14" spans="2:45" ht="15" x14ac:dyDescent="0.2">
      <c r="B14" s="16" t="s">
        <v>91</v>
      </c>
      <c r="C14" s="16"/>
      <c r="D14" s="18">
        <v>485000</v>
      </c>
      <c r="E14" s="58"/>
      <c r="F14" s="58">
        <f>D14/E9</f>
        <v>577.38095238095241</v>
      </c>
      <c r="M14" s="16" t="s">
        <v>99</v>
      </c>
      <c r="N14" s="16"/>
      <c r="P14" s="52">
        <f t="shared" ref="P14:AS14" si="17">$D$26*(1+2%)^P2</f>
        <v>20.399999999999999</v>
      </c>
      <c r="Q14" s="52">
        <f t="shared" si="17"/>
        <v>20.808</v>
      </c>
      <c r="R14" s="52">
        <f t="shared" si="17"/>
        <v>21.224159999999998</v>
      </c>
      <c r="S14" s="52">
        <f t="shared" si="17"/>
        <v>21.648643199999999</v>
      </c>
      <c r="T14" s="52">
        <f t="shared" si="17"/>
        <v>22.081616064000002</v>
      </c>
      <c r="U14" s="52">
        <f t="shared" si="17"/>
        <v>22.523248385280002</v>
      </c>
      <c r="V14" s="52">
        <f t="shared" si="17"/>
        <v>22.973713352985598</v>
      </c>
      <c r="W14" s="52">
        <f t="shared" si="17"/>
        <v>23.43318762004531</v>
      </c>
      <c r="X14" s="52">
        <f t="shared" si="17"/>
        <v>23.901851372446217</v>
      </c>
      <c r="Y14" s="52">
        <f t="shared" si="17"/>
        <v>24.379888399895144</v>
      </c>
      <c r="Z14" s="52">
        <f t="shared" si="17"/>
        <v>24.867486167893041</v>
      </c>
      <c r="AA14" s="52">
        <f t="shared" si="17"/>
        <v>25.364835891250905</v>
      </c>
      <c r="AB14" s="52">
        <f t="shared" si="17"/>
        <v>25.872132609075923</v>
      </c>
      <c r="AC14" s="52">
        <f t="shared" si="17"/>
        <v>26.389575261257441</v>
      </c>
      <c r="AD14" s="52">
        <f t="shared" si="17"/>
        <v>26.917366766482584</v>
      </c>
      <c r="AE14" s="52">
        <f t="shared" si="17"/>
        <v>27.455714101812241</v>
      </c>
      <c r="AF14" s="52">
        <f t="shared" si="17"/>
        <v>28.004828383848487</v>
      </c>
      <c r="AG14" s="52">
        <f t="shared" si="17"/>
        <v>28.564924951525455</v>
      </c>
      <c r="AH14" s="52">
        <f t="shared" si="17"/>
        <v>29.136223450555963</v>
      </c>
      <c r="AI14" s="52">
        <f t="shared" si="17"/>
        <v>29.718947919567086</v>
      </c>
      <c r="AJ14" s="52">
        <f t="shared" si="17"/>
        <v>30.313326877958424</v>
      </c>
      <c r="AK14" s="52">
        <f t="shared" si="17"/>
        <v>30.919593415517596</v>
      </c>
      <c r="AL14" s="52">
        <f t="shared" si="17"/>
        <v>31.53798528382794</v>
      </c>
      <c r="AM14" s="52">
        <f t="shared" si="17"/>
        <v>32.168744989504503</v>
      </c>
      <c r="AN14" s="52">
        <f t="shared" si="17"/>
        <v>32.812119889294593</v>
      </c>
      <c r="AO14" s="52">
        <f t="shared" si="17"/>
        <v>33.468362287080488</v>
      </c>
      <c r="AP14" s="52">
        <f t="shared" si="17"/>
        <v>34.137729532822092</v>
      </c>
      <c r="AQ14" s="52">
        <f t="shared" si="17"/>
        <v>34.820484123478536</v>
      </c>
      <c r="AR14" s="52">
        <f t="shared" si="17"/>
        <v>35.516893805948101</v>
      </c>
      <c r="AS14" s="52">
        <f t="shared" si="17"/>
        <v>36.227231682067071</v>
      </c>
    </row>
    <row r="15" spans="2:45" ht="15" x14ac:dyDescent="0.2">
      <c r="B15" s="16" t="s">
        <v>88</v>
      </c>
      <c r="C15" s="49">
        <v>3.5000000000000003E-2</v>
      </c>
      <c r="D15" s="59">
        <f>D14*C15</f>
        <v>16975</v>
      </c>
      <c r="E15" s="60"/>
      <c r="F15" s="60"/>
      <c r="M15" s="16" t="s">
        <v>111</v>
      </c>
      <c r="N15" s="16"/>
      <c r="O15" s="16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</row>
    <row r="16" spans="2:45" ht="15.75" thickBot="1" x14ac:dyDescent="0.25">
      <c r="B16" s="16" t="s">
        <v>87</v>
      </c>
      <c r="C16" s="49">
        <v>0.05</v>
      </c>
      <c r="D16" s="59">
        <f>D14*C16</f>
        <v>24250</v>
      </c>
      <c r="E16" s="60"/>
      <c r="F16" s="60"/>
      <c r="M16" s="16" t="s">
        <v>116</v>
      </c>
      <c r="N16" s="16"/>
      <c r="P16" s="51">
        <f t="shared" ref="P16:AS16" si="18">-$D$27*(1+Inflation)^P2*$E$9</f>
        <v>-873.6</v>
      </c>
      <c r="Q16" s="51">
        <f t="shared" si="18"/>
        <v>-908.5440000000001</v>
      </c>
      <c r="R16" s="51">
        <f t="shared" si="18"/>
        <v>-944.88576000000012</v>
      </c>
      <c r="S16" s="51">
        <f t="shared" si="18"/>
        <v>-982.68119040000022</v>
      </c>
      <c r="T16" s="51">
        <f t="shared" si="18"/>
        <v>-1021.9884380160003</v>
      </c>
      <c r="U16" s="51">
        <f t="shared" si="18"/>
        <v>-1062.8679755366404</v>
      </c>
      <c r="V16" s="51">
        <f t="shared" si="18"/>
        <v>-1105.3826945581059</v>
      </c>
      <c r="W16" s="51">
        <f t="shared" si="18"/>
        <v>-1149.5980023404302</v>
      </c>
      <c r="X16" s="51">
        <f t="shared" si="18"/>
        <v>-1195.5819224340476</v>
      </c>
      <c r="Y16" s="51">
        <f t="shared" si="18"/>
        <v>-1243.4051993314094</v>
      </c>
      <c r="Z16" s="51">
        <f t="shared" si="18"/>
        <v>-1293.1414073046658</v>
      </c>
      <c r="AA16" s="51">
        <f t="shared" si="18"/>
        <v>-1344.8670635968526</v>
      </c>
      <c r="AB16" s="51">
        <f t="shared" si="18"/>
        <v>-1398.6617461407268</v>
      </c>
      <c r="AC16" s="51">
        <f t="shared" si="18"/>
        <v>-1454.6082159863558</v>
      </c>
      <c r="AD16" s="51">
        <f t="shared" si="18"/>
        <v>-1512.79254462581</v>
      </c>
      <c r="AE16" s="51">
        <f t="shared" si="18"/>
        <v>-1573.3042464108428</v>
      </c>
      <c r="AF16" s="51">
        <f t="shared" si="18"/>
        <v>-1636.2364162672766</v>
      </c>
      <c r="AG16" s="51">
        <f t="shared" si="18"/>
        <v>-1701.6858729179678</v>
      </c>
      <c r="AH16" s="51">
        <f t="shared" si="18"/>
        <v>-1769.7533078346864</v>
      </c>
      <c r="AI16" s="51">
        <f t="shared" si="18"/>
        <v>-1840.5434401480738</v>
      </c>
      <c r="AJ16" s="51">
        <f t="shared" si="18"/>
        <v>-1914.1651777539973</v>
      </c>
      <c r="AK16" s="51">
        <f t="shared" si="18"/>
        <v>-1990.7317848641571</v>
      </c>
      <c r="AL16" s="51">
        <f t="shared" si="18"/>
        <v>-2070.3610562587232</v>
      </c>
      <c r="AM16" s="51">
        <f t="shared" si="18"/>
        <v>-2153.1754985090724</v>
      </c>
      <c r="AN16" s="51">
        <f t="shared" si="18"/>
        <v>-2239.3025184494359</v>
      </c>
      <c r="AO16" s="51">
        <f t="shared" si="18"/>
        <v>-2328.8746191874129</v>
      </c>
      <c r="AP16" s="51">
        <f t="shared" si="18"/>
        <v>-2422.0296039549094</v>
      </c>
      <c r="AQ16" s="51">
        <f t="shared" si="18"/>
        <v>-2518.9107881131063</v>
      </c>
      <c r="AR16" s="51">
        <f t="shared" si="18"/>
        <v>-2619.6672196376308</v>
      </c>
      <c r="AS16" s="51">
        <f t="shared" si="18"/>
        <v>-2724.4539084231355</v>
      </c>
    </row>
    <row r="17" spans="2:45" ht="16.5" thickBot="1" x14ac:dyDescent="0.25">
      <c r="B17" s="16" t="s">
        <v>89</v>
      </c>
      <c r="C17" s="49">
        <v>1.4999999999999999E-2</v>
      </c>
      <c r="D17" s="59">
        <f>D14*C17</f>
        <v>7275</v>
      </c>
      <c r="E17" s="60"/>
      <c r="F17" s="60"/>
      <c r="M17" s="39" t="s">
        <v>53</v>
      </c>
      <c r="N17" s="40"/>
      <c r="O17" s="47">
        <f>O11+O13+D27+O15</f>
        <v>-17807</v>
      </c>
      <c r="P17" s="47">
        <f t="shared" ref="P17:AS17" si="19">P11+P13+P16+P15</f>
        <v>-19023.072</v>
      </c>
      <c r="Q17" s="47">
        <f t="shared" si="19"/>
        <v>-19406.023680000002</v>
      </c>
      <c r="R17" s="47">
        <f t="shared" si="19"/>
        <v>-19797.0336384</v>
      </c>
      <c r="S17" s="47">
        <f t="shared" si="19"/>
        <v>-20196.285003263998</v>
      </c>
      <c r="T17" s="47">
        <f t="shared" si="19"/>
        <v>-20603.965563571204</v>
      </c>
      <c r="U17" s="47">
        <f t="shared" si="19"/>
        <v>-21020.267904765544</v>
      </c>
      <c r="V17" s="47">
        <f t="shared" si="19"/>
        <v>-21445.389548757437</v>
      </c>
      <c r="W17" s="47">
        <f t="shared" si="19"/>
        <v>-21896.404993623746</v>
      </c>
      <c r="X17" s="47">
        <f t="shared" si="19"/>
        <v>-22357.325053543031</v>
      </c>
      <c r="Y17" s="47">
        <f t="shared" si="19"/>
        <v>-22828.383193062575</v>
      </c>
      <c r="Z17" s="47">
        <f t="shared" si="19"/>
        <v>-23309.818960910448</v>
      </c>
      <c r="AA17" s="47">
        <f t="shared" si="19"/>
        <v>-23801.878168274754</v>
      </c>
      <c r="AB17" s="47">
        <f t="shared" si="19"/>
        <v>-24304.813072912188</v>
      </c>
      <c r="AC17" s="47">
        <f t="shared" si="19"/>
        <v>-24818.882569293241</v>
      </c>
      <c r="AD17" s="47">
        <f t="shared" si="19"/>
        <v>-25344.352384998831</v>
      </c>
      <c r="AE17" s="47">
        <f t="shared" si="19"/>
        <v>-25881.495283591328</v>
      </c>
      <c r="AF17" s="47">
        <f t="shared" si="19"/>
        <v>-26430.591274191371</v>
      </c>
      <c r="AG17" s="47">
        <f t="shared" si="19"/>
        <v>-26991.927828000549</v>
      </c>
      <c r="AH17" s="47">
        <f t="shared" si="19"/>
        <v>-27565.800102018915</v>
      </c>
      <c r="AI17" s="47">
        <f t="shared" si="19"/>
        <v>-28152.511170215988</v>
      </c>
      <c r="AJ17" s="47">
        <f t="shared" si="19"/>
        <v>-28752.372262423269</v>
      </c>
      <c r="AK17" s="47">
        <f t="shared" si="19"/>
        <v>-29365.703011226815</v>
      </c>
      <c r="AL17" s="47">
        <f t="shared" si="19"/>
        <v>-29992.831707148627</v>
      </c>
      <c r="AM17" s="47">
        <f t="shared" si="19"/>
        <v>-30634.095562416784</v>
      </c>
      <c r="AN17" s="47">
        <f t="shared" si="19"/>
        <v>-31289.840983635295</v>
      </c>
      <c r="AO17" s="47">
        <f t="shared" si="19"/>
        <v>-31960.423853676992</v>
      </c>
      <c r="AP17" s="47">
        <f t="shared" si="19"/>
        <v>-32646.209823134279</v>
      </c>
      <c r="AQ17" s="47">
        <f t="shared" si="19"/>
        <v>-33347.574611676064</v>
      </c>
      <c r="AR17" s="47">
        <f t="shared" si="19"/>
        <v>-34064.904319671841</v>
      </c>
      <c r="AS17" s="47">
        <f t="shared" si="19"/>
        <v>-34798.595750458036</v>
      </c>
    </row>
    <row r="18" spans="2:45" ht="15.75" thickBot="1" x14ac:dyDescent="0.25">
      <c r="B18" s="16" t="s">
        <v>90</v>
      </c>
      <c r="C18" s="49">
        <v>5.0000000000000001E-3</v>
      </c>
      <c r="D18" s="59">
        <f>D14*C18</f>
        <v>2425</v>
      </c>
      <c r="E18" s="60"/>
      <c r="F18" s="60"/>
    </row>
    <row r="19" spans="2:45" ht="16.5" thickBot="1" x14ac:dyDescent="0.25">
      <c r="B19" s="39" t="s">
        <v>61</v>
      </c>
      <c r="C19" s="57"/>
      <c r="D19" s="74">
        <f>SUM(D14:D18)</f>
        <v>535925</v>
      </c>
      <c r="E19" s="90">
        <f>D19/O9</f>
        <v>8.5837545727703137</v>
      </c>
      <c r="F19" s="88">
        <f>D19/E9</f>
        <v>638.00595238095241</v>
      </c>
      <c r="M19" s="39" t="s">
        <v>2</v>
      </c>
      <c r="N19" s="40"/>
      <c r="O19" s="47">
        <f t="shared" ref="O19:AS19" si="20">O9+O17</f>
        <v>44627.8</v>
      </c>
      <c r="P19" s="47">
        <f t="shared" si="20"/>
        <v>44083.993285714285</v>
      </c>
      <c r="Q19" s="47">
        <f t="shared" si="20"/>
        <v>44380.50871714286</v>
      </c>
      <c r="R19" s="47">
        <f t="shared" si="20"/>
        <v>44676.244505871437</v>
      </c>
      <c r="S19" s="47">
        <f t="shared" si="20"/>
        <v>44971.095149838868</v>
      </c>
      <c r="T19" s="47">
        <f t="shared" si="20"/>
        <v>45264.951310725308</v>
      </c>
      <c r="U19" s="47">
        <f t="shared" si="20"/>
        <v>45557.69968713315</v>
      </c>
      <c r="V19" s="47">
        <f t="shared" si="20"/>
        <v>45849.222883408089</v>
      </c>
      <c r="W19" s="47">
        <f t="shared" si="20"/>
        <v>46071.153562863416</v>
      </c>
      <c r="X19" s="47">
        <f t="shared" si="20"/>
        <v>46289.909088509012</v>
      </c>
      <c r="Y19" s="47">
        <f t="shared" si="20"/>
        <v>46505.323290409971</v>
      </c>
      <c r="Z19" s="47">
        <f t="shared" si="20"/>
        <v>46717.224587396835</v>
      </c>
      <c r="AA19" s="47">
        <f t="shared" si="20"/>
        <v>46925.435815515622</v>
      </c>
      <c r="AB19" s="47">
        <f t="shared" si="20"/>
        <v>47129.774050716078</v>
      </c>
      <c r="AC19" s="47">
        <f t="shared" si="20"/>
        <v>47330.050425571302</v>
      </c>
      <c r="AD19" s="47">
        <f t="shared" si="20"/>
        <v>47526.069939814377</v>
      </c>
      <c r="AE19" s="47">
        <f t="shared" si="20"/>
        <v>47717.631264469994</v>
      </c>
      <c r="AF19" s="47">
        <f t="shared" si="20"/>
        <v>47904.526539350576</v>
      </c>
      <c r="AG19" s="47">
        <f t="shared" si="20"/>
        <v>48086.541163676811</v>
      </c>
      <c r="AH19" s="47">
        <f t="shared" si="20"/>
        <v>48263.453579575231</v>
      </c>
      <c r="AI19" s="47">
        <f t="shared" si="20"/>
        <v>48435.03504819407</v>
      </c>
      <c r="AJ19" s="47">
        <f t="shared" si="20"/>
        <v>48601.0494181709</v>
      </c>
      <c r="AK19" s="47">
        <f t="shared" si="20"/>
        <v>48761.252886173315</v>
      </c>
      <c r="AL19" s="47">
        <f t="shared" si="20"/>
        <v>48915.393749225492</v>
      </c>
      <c r="AM19" s="47">
        <f t="shared" si="20"/>
        <v>49063.212148521081</v>
      </c>
      <c r="AN19" s="47">
        <f t="shared" si="20"/>
        <v>49204.439804411959</v>
      </c>
      <c r="AO19" s="47">
        <f t="shared" si="20"/>
        <v>49338.79974225074</v>
      </c>
      <c r="AP19" s="47">
        <f t="shared" si="20"/>
        <v>49466.006008752724</v>
      </c>
      <c r="AQ19" s="47">
        <f t="shared" si="20"/>
        <v>49585.763378529817</v>
      </c>
      <c r="AR19" s="47">
        <f t="shared" si="20"/>
        <v>49697.767050436087</v>
      </c>
      <c r="AS19" s="47">
        <f t="shared" si="20"/>
        <v>49801.702333350979</v>
      </c>
    </row>
    <row r="21" spans="2:45" ht="18.75" x14ac:dyDescent="0.2">
      <c r="B21" s="34" t="s">
        <v>106</v>
      </c>
      <c r="C21" s="35"/>
      <c r="D21" s="35"/>
      <c r="E21" s="35"/>
      <c r="F21" s="35"/>
      <c r="M21" s="53" t="s">
        <v>3</v>
      </c>
      <c r="N21" s="54"/>
      <c r="O21" s="54"/>
      <c r="P21" s="55">
        <f t="shared" ref="P21:AS21" si="21">-P22*P45</f>
        <v>-8569.9500000000007</v>
      </c>
      <c r="Q21" s="55">
        <f t="shared" si="21"/>
        <v>-8118.9</v>
      </c>
      <c r="R21" s="55">
        <f t="shared" si="21"/>
        <v>-7667.85</v>
      </c>
      <c r="S21" s="55">
        <f t="shared" si="21"/>
        <v>-7216.8</v>
      </c>
      <c r="T21" s="55">
        <f t="shared" si="21"/>
        <v>-6765.75</v>
      </c>
      <c r="U21" s="55">
        <f t="shared" si="21"/>
        <v>-6314.7</v>
      </c>
      <c r="V21" s="55">
        <f t="shared" si="21"/>
        <v>-5863.65</v>
      </c>
      <c r="W21" s="55">
        <f t="shared" si="21"/>
        <v>-5412.6</v>
      </c>
      <c r="X21" s="55">
        <f t="shared" si="21"/>
        <v>-4961.55</v>
      </c>
      <c r="Y21" s="55">
        <f t="shared" si="21"/>
        <v>-4510.5</v>
      </c>
      <c r="Z21" s="55">
        <f t="shared" si="21"/>
        <v>-4059.45</v>
      </c>
      <c r="AA21" s="55">
        <f t="shared" si="21"/>
        <v>-3608.4</v>
      </c>
      <c r="AB21" s="55">
        <f t="shared" si="21"/>
        <v>-3157.35</v>
      </c>
      <c r="AC21" s="55">
        <f t="shared" si="21"/>
        <v>-2706.3</v>
      </c>
      <c r="AD21" s="55">
        <f t="shared" si="21"/>
        <v>-2255.25</v>
      </c>
      <c r="AE21" s="55">
        <f t="shared" si="21"/>
        <v>-1804.2</v>
      </c>
      <c r="AF21" s="55">
        <f t="shared" si="21"/>
        <v>-1353.15</v>
      </c>
      <c r="AG21" s="55">
        <f t="shared" si="21"/>
        <v>-902.1</v>
      </c>
      <c r="AH21" s="55">
        <f t="shared" si="21"/>
        <v>-451.05</v>
      </c>
      <c r="AI21" s="55">
        <f t="shared" si="21"/>
        <v>0</v>
      </c>
      <c r="AJ21" s="55">
        <f t="shared" si="21"/>
        <v>0</v>
      </c>
      <c r="AK21" s="55">
        <f t="shared" si="21"/>
        <v>0</v>
      </c>
      <c r="AL21" s="55">
        <f t="shared" si="21"/>
        <v>0</v>
      </c>
      <c r="AM21" s="55">
        <f t="shared" si="21"/>
        <v>0</v>
      </c>
      <c r="AN21" s="55">
        <f t="shared" si="21"/>
        <v>0</v>
      </c>
      <c r="AO21" s="55">
        <f t="shared" si="21"/>
        <v>0</v>
      </c>
      <c r="AP21" s="55">
        <f t="shared" si="21"/>
        <v>0</v>
      </c>
      <c r="AQ21" s="55">
        <f t="shared" si="21"/>
        <v>0</v>
      </c>
      <c r="AR21" s="55">
        <f t="shared" si="21"/>
        <v>0</v>
      </c>
      <c r="AS21" s="55">
        <f t="shared" si="21"/>
        <v>0</v>
      </c>
    </row>
    <row r="22" spans="2:45" ht="15" x14ac:dyDescent="0.2">
      <c r="B22" s="16" t="s">
        <v>103</v>
      </c>
      <c r="D22" s="49">
        <v>0.01</v>
      </c>
      <c r="F22" s="76" t="s">
        <v>107</v>
      </c>
      <c r="M22" s="83" t="s">
        <v>4</v>
      </c>
      <c r="N22" s="83"/>
      <c r="O22" s="83"/>
      <c r="P22" s="84">
        <f t="shared" ref="P22:AS22" si="22">$D$34</f>
        <v>3.1E-2</v>
      </c>
      <c r="Q22" s="84">
        <f t="shared" si="22"/>
        <v>3.1E-2</v>
      </c>
      <c r="R22" s="84">
        <f t="shared" si="22"/>
        <v>3.1E-2</v>
      </c>
      <c r="S22" s="84">
        <f t="shared" si="22"/>
        <v>3.1E-2</v>
      </c>
      <c r="T22" s="84">
        <f t="shared" si="22"/>
        <v>3.1E-2</v>
      </c>
      <c r="U22" s="84">
        <f t="shared" si="22"/>
        <v>3.1E-2</v>
      </c>
      <c r="V22" s="84">
        <f t="shared" si="22"/>
        <v>3.1E-2</v>
      </c>
      <c r="W22" s="84">
        <f t="shared" si="22"/>
        <v>3.1E-2</v>
      </c>
      <c r="X22" s="84">
        <f t="shared" si="22"/>
        <v>3.1E-2</v>
      </c>
      <c r="Y22" s="84">
        <f t="shared" si="22"/>
        <v>3.1E-2</v>
      </c>
      <c r="Z22" s="84">
        <f t="shared" si="22"/>
        <v>3.1E-2</v>
      </c>
      <c r="AA22" s="84">
        <f t="shared" si="22"/>
        <v>3.1E-2</v>
      </c>
      <c r="AB22" s="84">
        <f t="shared" si="22"/>
        <v>3.1E-2</v>
      </c>
      <c r="AC22" s="84">
        <f t="shared" si="22"/>
        <v>3.1E-2</v>
      </c>
      <c r="AD22" s="84">
        <f t="shared" si="22"/>
        <v>3.1E-2</v>
      </c>
      <c r="AE22" s="84">
        <f t="shared" si="22"/>
        <v>3.1E-2</v>
      </c>
      <c r="AF22" s="84">
        <f t="shared" si="22"/>
        <v>3.1E-2</v>
      </c>
      <c r="AG22" s="84">
        <f t="shared" si="22"/>
        <v>3.1E-2</v>
      </c>
      <c r="AH22" s="84">
        <f t="shared" si="22"/>
        <v>3.1E-2</v>
      </c>
      <c r="AI22" s="84">
        <f t="shared" si="22"/>
        <v>3.1E-2</v>
      </c>
      <c r="AJ22" s="84">
        <f t="shared" si="22"/>
        <v>3.1E-2</v>
      </c>
      <c r="AK22" s="84">
        <f t="shared" si="22"/>
        <v>3.1E-2</v>
      </c>
      <c r="AL22" s="84">
        <f t="shared" si="22"/>
        <v>3.1E-2</v>
      </c>
      <c r="AM22" s="84">
        <f t="shared" si="22"/>
        <v>3.1E-2</v>
      </c>
      <c r="AN22" s="84">
        <f t="shared" si="22"/>
        <v>3.1E-2</v>
      </c>
      <c r="AO22" s="84">
        <f t="shared" si="22"/>
        <v>3.1E-2</v>
      </c>
      <c r="AP22" s="84">
        <f t="shared" si="22"/>
        <v>3.1E-2</v>
      </c>
      <c r="AQ22" s="84">
        <f t="shared" si="22"/>
        <v>3.1E-2</v>
      </c>
      <c r="AR22" s="84">
        <f t="shared" si="22"/>
        <v>3.1E-2</v>
      </c>
      <c r="AS22" s="84">
        <f t="shared" si="22"/>
        <v>3.1E-2</v>
      </c>
    </row>
    <row r="23" spans="2:45" ht="15" x14ac:dyDescent="0.2">
      <c r="B23" s="16" t="s">
        <v>125</v>
      </c>
      <c r="D23" s="49">
        <v>0.05</v>
      </c>
      <c r="F23" s="76" t="s">
        <v>107</v>
      </c>
      <c r="M23" s="53" t="s">
        <v>5</v>
      </c>
      <c r="N23" s="16"/>
      <c r="P23" s="56">
        <f t="shared" ref="P23:AS23" si="23">-$D$19*$D$30</f>
        <v>-16077.75</v>
      </c>
      <c r="Q23" s="56">
        <f t="shared" si="23"/>
        <v>-16077.75</v>
      </c>
      <c r="R23" s="56">
        <f t="shared" si="23"/>
        <v>-16077.75</v>
      </c>
      <c r="S23" s="56">
        <f t="shared" si="23"/>
        <v>-16077.75</v>
      </c>
      <c r="T23" s="56">
        <f t="shared" si="23"/>
        <v>-16077.75</v>
      </c>
      <c r="U23" s="56">
        <f t="shared" si="23"/>
        <v>-16077.75</v>
      </c>
      <c r="V23" s="56">
        <f t="shared" si="23"/>
        <v>-16077.75</v>
      </c>
      <c r="W23" s="56">
        <f t="shared" si="23"/>
        <v>-16077.75</v>
      </c>
      <c r="X23" s="56">
        <f t="shared" si="23"/>
        <v>-16077.75</v>
      </c>
      <c r="Y23" s="56">
        <f t="shared" si="23"/>
        <v>-16077.75</v>
      </c>
      <c r="Z23" s="56">
        <f t="shared" si="23"/>
        <v>-16077.75</v>
      </c>
      <c r="AA23" s="56">
        <f t="shared" si="23"/>
        <v>-16077.75</v>
      </c>
      <c r="AB23" s="56">
        <f t="shared" si="23"/>
        <v>-16077.75</v>
      </c>
      <c r="AC23" s="56">
        <f t="shared" si="23"/>
        <v>-16077.75</v>
      </c>
      <c r="AD23" s="56">
        <f t="shared" si="23"/>
        <v>-16077.75</v>
      </c>
      <c r="AE23" s="56">
        <f t="shared" si="23"/>
        <v>-16077.75</v>
      </c>
      <c r="AF23" s="56">
        <f t="shared" si="23"/>
        <v>-16077.75</v>
      </c>
      <c r="AG23" s="56">
        <f t="shared" si="23"/>
        <v>-16077.75</v>
      </c>
      <c r="AH23" s="56">
        <f t="shared" si="23"/>
        <v>-16077.75</v>
      </c>
      <c r="AI23" s="56">
        <f t="shared" si="23"/>
        <v>-16077.75</v>
      </c>
      <c r="AJ23" s="56">
        <f t="shared" si="23"/>
        <v>-16077.75</v>
      </c>
      <c r="AK23" s="56">
        <f t="shared" si="23"/>
        <v>-16077.75</v>
      </c>
      <c r="AL23" s="56">
        <f t="shared" si="23"/>
        <v>-16077.75</v>
      </c>
      <c r="AM23" s="56">
        <f t="shared" si="23"/>
        <v>-16077.75</v>
      </c>
      <c r="AN23" s="56">
        <f t="shared" si="23"/>
        <v>-16077.75</v>
      </c>
      <c r="AO23" s="56">
        <f t="shared" si="23"/>
        <v>-16077.75</v>
      </c>
      <c r="AP23" s="56">
        <f t="shared" si="23"/>
        <v>-16077.75</v>
      </c>
      <c r="AQ23" s="56">
        <f t="shared" si="23"/>
        <v>-16077.75</v>
      </c>
      <c r="AR23" s="56">
        <f t="shared" si="23"/>
        <v>-16077.75</v>
      </c>
      <c r="AS23" s="56">
        <f t="shared" si="23"/>
        <v>-16077.75</v>
      </c>
    </row>
    <row r="24" spans="2:45" ht="15.75" thickBot="1" x14ac:dyDescent="0.25">
      <c r="B24" s="16" t="s">
        <v>126</v>
      </c>
      <c r="D24" s="49">
        <v>4.4999999999999998E-2</v>
      </c>
      <c r="F24" s="76" t="s">
        <v>107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2:45" ht="16.5" thickBot="1" x14ac:dyDescent="0.25">
      <c r="B25" s="2" t="s">
        <v>127</v>
      </c>
      <c r="D25" s="23">
        <v>7</v>
      </c>
      <c r="F25" s="87" t="s">
        <v>123</v>
      </c>
      <c r="M25" s="39" t="s">
        <v>6</v>
      </c>
      <c r="N25" s="40"/>
      <c r="O25" s="47"/>
      <c r="P25" s="47">
        <f>P19+P21+P23</f>
        <v>19436.293285714288</v>
      </c>
      <c r="Q25" s="47">
        <f t="shared" ref="Q25:AH25" si="24">Q19+Q21+Q23</f>
        <v>20183.858717142859</v>
      </c>
      <c r="R25" s="47">
        <f t="shared" si="24"/>
        <v>20930.644505871438</v>
      </c>
      <c r="S25" s="47">
        <f t="shared" si="24"/>
        <v>21676.545149838865</v>
      </c>
      <c r="T25" s="47">
        <f t="shared" si="24"/>
        <v>22421.451310725308</v>
      </c>
      <c r="U25" s="47">
        <f t="shared" si="24"/>
        <v>23165.249687133153</v>
      </c>
      <c r="V25" s="47">
        <f t="shared" si="24"/>
        <v>23907.822883408087</v>
      </c>
      <c r="W25" s="47">
        <f t="shared" si="24"/>
        <v>24580.803562863417</v>
      </c>
      <c r="X25" s="47">
        <f t="shared" si="24"/>
        <v>25250.609088509009</v>
      </c>
      <c r="Y25" s="47">
        <f t="shared" si="24"/>
        <v>25917.073290409971</v>
      </c>
      <c r="Z25" s="47">
        <f t="shared" si="24"/>
        <v>26580.024587396838</v>
      </c>
      <c r="AA25" s="47">
        <f t="shared" si="24"/>
        <v>27239.285815515621</v>
      </c>
      <c r="AB25" s="47">
        <f t="shared" si="24"/>
        <v>27894.674050716079</v>
      </c>
      <c r="AC25" s="47">
        <f t="shared" si="24"/>
        <v>28546.000425571299</v>
      </c>
      <c r="AD25" s="47">
        <f t="shared" si="24"/>
        <v>29193.069939814377</v>
      </c>
      <c r="AE25" s="47">
        <f t="shared" si="24"/>
        <v>29835.681264469997</v>
      </c>
      <c r="AF25" s="47">
        <f t="shared" si="24"/>
        <v>30473.626539350575</v>
      </c>
      <c r="AG25" s="47">
        <f t="shared" si="24"/>
        <v>31106.691163676813</v>
      </c>
      <c r="AH25" s="47">
        <f t="shared" si="24"/>
        <v>31734.653579575228</v>
      </c>
      <c r="AI25" s="47">
        <f t="shared" ref="AI25:AS25" si="25">AI19+AI21+AI23</f>
        <v>32357.28504819407</v>
      </c>
      <c r="AJ25" s="47">
        <f t="shared" si="25"/>
        <v>32523.2994181709</v>
      </c>
      <c r="AK25" s="47">
        <f t="shared" si="25"/>
        <v>32683.502886173315</v>
      </c>
      <c r="AL25" s="47">
        <f t="shared" si="25"/>
        <v>32837.643749225492</v>
      </c>
      <c r="AM25" s="47">
        <f t="shared" si="25"/>
        <v>32985.462148521081</v>
      </c>
      <c r="AN25" s="47">
        <f t="shared" si="25"/>
        <v>33126.689804411959</v>
      </c>
      <c r="AO25" s="47">
        <f t="shared" si="25"/>
        <v>33261.04974225074</v>
      </c>
      <c r="AP25" s="47">
        <f t="shared" si="25"/>
        <v>33388.256008752724</v>
      </c>
      <c r="AQ25" s="47">
        <f t="shared" si="25"/>
        <v>33508.013378529817</v>
      </c>
      <c r="AR25" s="47">
        <f t="shared" si="25"/>
        <v>33620.017050436087</v>
      </c>
      <c r="AS25" s="47">
        <f t="shared" si="25"/>
        <v>33723.952333350979</v>
      </c>
    </row>
    <row r="26" spans="2:45" ht="15" x14ac:dyDescent="0.2">
      <c r="B26" s="16" t="s">
        <v>109</v>
      </c>
      <c r="D26" s="24">
        <v>20</v>
      </c>
      <c r="F26" s="76" t="s">
        <v>49</v>
      </c>
    </row>
    <row r="27" spans="2:45" ht="15" x14ac:dyDescent="0.2">
      <c r="B27" s="16" t="s">
        <v>110</v>
      </c>
      <c r="D27" s="24">
        <v>1</v>
      </c>
      <c r="F27" s="76" t="s">
        <v>49</v>
      </c>
      <c r="M27" s="53" t="s">
        <v>71</v>
      </c>
      <c r="N27" s="16"/>
      <c r="P27" s="55">
        <f t="shared" ref="P27:AS27" si="26">-P25*$D$29</f>
        <v>-2915.4439928571433</v>
      </c>
      <c r="Q27" s="55">
        <f t="shared" si="26"/>
        <v>-3027.5788075714286</v>
      </c>
      <c r="R27" s="55">
        <f t="shared" si="26"/>
        <v>-3139.5966758807158</v>
      </c>
      <c r="S27" s="55">
        <f t="shared" si="26"/>
        <v>-3251.4817724758295</v>
      </c>
      <c r="T27" s="55">
        <f t="shared" si="26"/>
        <v>-3363.2176966087959</v>
      </c>
      <c r="U27" s="55">
        <f t="shared" si="26"/>
        <v>-3474.7874530699728</v>
      </c>
      <c r="V27" s="55">
        <f t="shared" si="26"/>
        <v>-3586.1734325112129</v>
      </c>
      <c r="W27" s="55">
        <f t="shared" si="26"/>
        <v>-3687.1205344295122</v>
      </c>
      <c r="X27" s="55">
        <f t="shared" si="26"/>
        <v>-3787.5913632763513</v>
      </c>
      <c r="Y27" s="55">
        <f t="shared" si="26"/>
        <v>-3887.5609935614957</v>
      </c>
      <c r="Z27" s="55">
        <f t="shared" si="26"/>
        <v>-3987.0036881095257</v>
      </c>
      <c r="AA27" s="55">
        <f t="shared" si="26"/>
        <v>-4085.892872327343</v>
      </c>
      <c r="AB27" s="55">
        <f t="shared" si="26"/>
        <v>-4184.2011076074114</v>
      </c>
      <c r="AC27" s="55">
        <f t="shared" si="26"/>
        <v>-4281.9000638356947</v>
      </c>
      <c r="AD27" s="55">
        <f t="shared" si="26"/>
        <v>-4378.9604909721565</v>
      </c>
      <c r="AE27" s="55">
        <f t="shared" si="26"/>
        <v>-4475.3521896704997</v>
      </c>
      <c r="AF27" s="55">
        <f t="shared" si="26"/>
        <v>-4571.0439809025856</v>
      </c>
      <c r="AG27" s="55">
        <f t="shared" si="26"/>
        <v>-4666.0036745515217</v>
      </c>
      <c r="AH27" s="55">
        <f t="shared" si="26"/>
        <v>-4760.1980369362836</v>
      </c>
      <c r="AI27" s="55">
        <f t="shared" si="26"/>
        <v>-4853.5927572291102</v>
      </c>
      <c r="AJ27" s="55">
        <f t="shared" si="26"/>
        <v>-4878.494912725635</v>
      </c>
      <c r="AK27" s="55">
        <f t="shared" si="26"/>
        <v>-4902.5254329259969</v>
      </c>
      <c r="AL27" s="55">
        <f t="shared" si="26"/>
        <v>-4925.6465623838239</v>
      </c>
      <c r="AM27" s="55">
        <f t="shared" si="26"/>
        <v>-4947.819322278162</v>
      </c>
      <c r="AN27" s="55">
        <f t="shared" si="26"/>
        <v>-4969.0034706617935</v>
      </c>
      <c r="AO27" s="55">
        <f t="shared" si="26"/>
        <v>-4989.1574613376106</v>
      </c>
      <c r="AP27" s="55">
        <f t="shared" si="26"/>
        <v>-5008.2384013129085</v>
      </c>
      <c r="AQ27" s="55">
        <f t="shared" si="26"/>
        <v>-5026.202006779472</v>
      </c>
      <c r="AR27" s="55">
        <f t="shared" si="26"/>
        <v>-5043.0025575654126</v>
      </c>
      <c r="AS27" s="55">
        <f t="shared" si="26"/>
        <v>-5058.5928500026466</v>
      </c>
    </row>
    <row r="28" spans="2:45" ht="15.75" thickBot="1" x14ac:dyDescent="0.25">
      <c r="B28" s="2" t="s">
        <v>113</v>
      </c>
      <c r="D28" s="49">
        <v>0.04</v>
      </c>
      <c r="F28" s="76" t="s">
        <v>107</v>
      </c>
    </row>
    <row r="29" spans="2:45" ht="16.5" thickBot="1" x14ac:dyDescent="0.25">
      <c r="B29" s="16" t="s">
        <v>71</v>
      </c>
      <c r="D29" s="49">
        <v>0.15</v>
      </c>
      <c r="F29" s="76" t="s">
        <v>107</v>
      </c>
      <c r="M29" s="39" t="s">
        <v>72</v>
      </c>
      <c r="N29" s="40"/>
      <c r="O29" s="47"/>
      <c r="P29" s="47">
        <f t="shared" ref="P29:AS29" si="27">P25+P27</f>
        <v>16520.849292857143</v>
      </c>
      <c r="Q29" s="47">
        <f t="shared" si="27"/>
        <v>17156.279909571429</v>
      </c>
      <c r="R29" s="47">
        <f t="shared" si="27"/>
        <v>17791.047829990723</v>
      </c>
      <c r="S29" s="47">
        <f t="shared" si="27"/>
        <v>18425.063377363036</v>
      </c>
      <c r="T29" s="47">
        <f t="shared" si="27"/>
        <v>19058.233614116511</v>
      </c>
      <c r="U29" s="47">
        <f t="shared" si="27"/>
        <v>19690.462234063179</v>
      </c>
      <c r="V29" s="47">
        <f t="shared" si="27"/>
        <v>20321.649450896875</v>
      </c>
      <c r="W29" s="47">
        <f t="shared" si="27"/>
        <v>20893.683028433905</v>
      </c>
      <c r="X29" s="47">
        <f t="shared" si="27"/>
        <v>21463.017725232658</v>
      </c>
      <c r="Y29" s="47">
        <f t="shared" si="27"/>
        <v>22029.512296848476</v>
      </c>
      <c r="Z29" s="47">
        <f t="shared" si="27"/>
        <v>22593.020899287312</v>
      </c>
      <c r="AA29" s="47">
        <f t="shared" si="27"/>
        <v>23153.392943188279</v>
      </c>
      <c r="AB29" s="47">
        <f t="shared" si="27"/>
        <v>23710.472943108667</v>
      </c>
      <c r="AC29" s="47">
        <f t="shared" si="27"/>
        <v>24264.100361735604</v>
      </c>
      <c r="AD29" s="47">
        <f t="shared" si="27"/>
        <v>24814.10944884222</v>
      </c>
      <c r="AE29" s="47">
        <f t="shared" si="27"/>
        <v>25360.329074799498</v>
      </c>
      <c r="AF29" s="47">
        <f t="shared" si="27"/>
        <v>25902.58255844799</v>
      </c>
      <c r="AG29" s="47">
        <f t="shared" si="27"/>
        <v>26440.687489125292</v>
      </c>
      <c r="AH29" s="47">
        <f t="shared" si="27"/>
        <v>26974.455542638945</v>
      </c>
      <c r="AI29" s="47">
        <f t="shared" si="27"/>
        <v>27503.692290964958</v>
      </c>
      <c r="AJ29" s="47">
        <f t="shared" si="27"/>
        <v>27644.804505445267</v>
      </c>
      <c r="AK29" s="47">
        <f t="shared" si="27"/>
        <v>27780.977453247317</v>
      </c>
      <c r="AL29" s="47">
        <f t="shared" si="27"/>
        <v>27911.997186841669</v>
      </c>
      <c r="AM29" s="47">
        <f t="shared" si="27"/>
        <v>28037.642826242918</v>
      </c>
      <c r="AN29" s="47">
        <f t="shared" si="27"/>
        <v>28157.686333750164</v>
      </c>
      <c r="AO29" s="47">
        <f t="shared" si="27"/>
        <v>28271.892280913129</v>
      </c>
      <c r="AP29" s="47">
        <f t="shared" si="27"/>
        <v>28380.017607439815</v>
      </c>
      <c r="AQ29" s="47">
        <f t="shared" si="27"/>
        <v>28481.811371750344</v>
      </c>
      <c r="AR29" s="47">
        <f t="shared" si="27"/>
        <v>28577.014492870672</v>
      </c>
      <c r="AS29" s="47">
        <f t="shared" si="27"/>
        <v>28665.359483348333</v>
      </c>
    </row>
    <row r="30" spans="2:45" ht="15" x14ac:dyDescent="0.2">
      <c r="B30" s="16" t="s">
        <v>5</v>
      </c>
      <c r="D30" s="49">
        <v>0.03</v>
      </c>
      <c r="F30" s="76" t="s">
        <v>107</v>
      </c>
    </row>
    <row r="32" spans="2:45" ht="15.75" thickBot="1" x14ac:dyDescent="0.25">
      <c r="B32" s="16" t="s">
        <v>63</v>
      </c>
      <c r="C32" s="16"/>
      <c r="D32" s="62">
        <v>0.6</v>
      </c>
      <c r="F32" s="87" t="s">
        <v>108</v>
      </c>
    </row>
    <row r="33" spans="2:45" ht="18.75" x14ac:dyDescent="0.2">
      <c r="B33" s="61" t="s">
        <v>124</v>
      </c>
      <c r="C33" s="16"/>
      <c r="D33" s="23">
        <v>20</v>
      </c>
      <c r="F33" s="87" t="s">
        <v>123</v>
      </c>
      <c r="H33" s="9"/>
      <c r="M33" s="95" t="s">
        <v>44</v>
      </c>
      <c r="N33" s="45"/>
      <c r="O33" s="45">
        <v>0</v>
      </c>
      <c r="P33" s="45">
        <f t="shared" ref="P33:AH33" si="28">O33+1</f>
        <v>1</v>
      </c>
      <c r="Q33" s="45">
        <f t="shared" si="28"/>
        <v>2</v>
      </c>
      <c r="R33" s="45">
        <f t="shared" si="28"/>
        <v>3</v>
      </c>
      <c r="S33" s="45">
        <f t="shared" si="28"/>
        <v>4</v>
      </c>
      <c r="T33" s="45">
        <f t="shared" si="28"/>
        <v>5</v>
      </c>
      <c r="U33" s="45">
        <f t="shared" si="28"/>
        <v>6</v>
      </c>
      <c r="V33" s="45">
        <f t="shared" si="28"/>
        <v>7</v>
      </c>
      <c r="W33" s="45">
        <f t="shared" si="28"/>
        <v>8</v>
      </c>
      <c r="X33" s="45">
        <f t="shared" si="28"/>
        <v>9</v>
      </c>
      <c r="Y33" s="45">
        <f t="shared" si="28"/>
        <v>10</v>
      </c>
      <c r="Z33" s="45">
        <f t="shared" si="28"/>
        <v>11</v>
      </c>
      <c r="AA33" s="45">
        <f t="shared" si="28"/>
        <v>12</v>
      </c>
      <c r="AB33" s="45">
        <f t="shared" si="28"/>
        <v>13</v>
      </c>
      <c r="AC33" s="45">
        <f t="shared" si="28"/>
        <v>14</v>
      </c>
      <c r="AD33" s="45">
        <f t="shared" si="28"/>
        <v>15</v>
      </c>
      <c r="AE33" s="45">
        <f t="shared" si="28"/>
        <v>16</v>
      </c>
      <c r="AF33" s="45">
        <f t="shared" si="28"/>
        <v>17</v>
      </c>
      <c r="AG33" s="45">
        <f t="shared" si="28"/>
        <v>18</v>
      </c>
      <c r="AH33" s="45">
        <f t="shared" si="28"/>
        <v>19</v>
      </c>
      <c r="AI33" s="45">
        <f t="shared" ref="AI33:AS33" si="29">AH33+1</f>
        <v>20</v>
      </c>
      <c r="AJ33" s="45">
        <f t="shared" si="29"/>
        <v>21</v>
      </c>
      <c r="AK33" s="45">
        <f t="shared" si="29"/>
        <v>22</v>
      </c>
      <c r="AL33" s="45">
        <f t="shared" si="29"/>
        <v>23</v>
      </c>
      <c r="AM33" s="45">
        <f t="shared" si="29"/>
        <v>24</v>
      </c>
      <c r="AN33" s="45">
        <f t="shared" si="29"/>
        <v>25</v>
      </c>
      <c r="AO33" s="45">
        <f t="shared" si="29"/>
        <v>26</v>
      </c>
      <c r="AP33" s="45">
        <f t="shared" si="29"/>
        <v>27</v>
      </c>
      <c r="AQ33" s="45">
        <f t="shared" si="29"/>
        <v>28</v>
      </c>
      <c r="AR33" s="45">
        <f t="shared" si="29"/>
        <v>29</v>
      </c>
      <c r="AS33" s="96">
        <f t="shared" si="29"/>
        <v>30</v>
      </c>
    </row>
    <row r="34" spans="2:45" ht="16.5" thickBot="1" x14ac:dyDescent="0.25">
      <c r="B34" s="16" t="s">
        <v>4</v>
      </c>
      <c r="C34" s="16"/>
      <c r="D34" s="49">
        <v>3.1E-2</v>
      </c>
      <c r="F34" s="76" t="s">
        <v>107</v>
      </c>
      <c r="H34" s="9"/>
      <c r="M34" s="97"/>
      <c r="N34" s="46"/>
      <c r="O34" s="46">
        <f>O3</f>
        <v>2022</v>
      </c>
      <c r="P34" s="46">
        <f t="shared" ref="P34:AH34" si="30">O34+1</f>
        <v>2023</v>
      </c>
      <c r="Q34" s="46">
        <f t="shared" si="30"/>
        <v>2024</v>
      </c>
      <c r="R34" s="46">
        <f t="shared" si="30"/>
        <v>2025</v>
      </c>
      <c r="S34" s="46">
        <f t="shared" si="30"/>
        <v>2026</v>
      </c>
      <c r="T34" s="46">
        <f t="shared" si="30"/>
        <v>2027</v>
      </c>
      <c r="U34" s="46">
        <f t="shared" si="30"/>
        <v>2028</v>
      </c>
      <c r="V34" s="46">
        <f t="shared" si="30"/>
        <v>2029</v>
      </c>
      <c r="W34" s="46">
        <f t="shared" si="30"/>
        <v>2030</v>
      </c>
      <c r="X34" s="46">
        <f t="shared" si="30"/>
        <v>2031</v>
      </c>
      <c r="Y34" s="46">
        <f t="shared" si="30"/>
        <v>2032</v>
      </c>
      <c r="Z34" s="46">
        <f t="shared" si="30"/>
        <v>2033</v>
      </c>
      <c r="AA34" s="46">
        <f t="shared" si="30"/>
        <v>2034</v>
      </c>
      <c r="AB34" s="46">
        <f t="shared" si="30"/>
        <v>2035</v>
      </c>
      <c r="AC34" s="46">
        <f t="shared" si="30"/>
        <v>2036</v>
      </c>
      <c r="AD34" s="46">
        <f t="shared" si="30"/>
        <v>2037</v>
      </c>
      <c r="AE34" s="46">
        <f t="shared" si="30"/>
        <v>2038</v>
      </c>
      <c r="AF34" s="46">
        <f t="shared" si="30"/>
        <v>2039</v>
      </c>
      <c r="AG34" s="46">
        <f t="shared" si="30"/>
        <v>2040</v>
      </c>
      <c r="AH34" s="46">
        <f t="shared" si="30"/>
        <v>2041</v>
      </c>
      <c r="AI34" s="46">
        <f t="shared" ref="AI34:AS34" si="31">AH34+1</f>
        <v>2042</v>
      </c>
      <c r="AJ34" s="46">
        <f t="shared" si="31"/>
        <v>2043</v>
      </c>
      <c r="AK34" s="46">
        <f t="shared" si="31"/>
        <v>2044</v>
      </c>
      <c r="AL34" s="46">
        <f t="shared" si="31"/>
        <v>2045</v>
      </c>
      <c r="AM34" s="46">
        <f t="shared" si="31"/>
        <v>2046</v>
      </c>
      <c r="AN34" s="46">
        <f t="shared" si="31"/>
        <v>2047</v>
      </c>
      <c r="AO34" s="46">
        <f t="shared" si="31"/>
        <v>2048</v>
      </c>
      <c r="AP34" s="46">
        <f t="shared" si="31"/>
        <v>2049</v>
      </c>
      <c r="AQ34" s="46">
        <f t="shared" si="31"/>
        <v>2050</v>
      </c>
      <c r="AR34" s="46">
        <f t="shared" si="31"/>
        <v>2051</v>
      </c>
      <c r="AS34" s="98">
        <f t="shared" si="31"/>
        <v>2052</v>
      </c>
    </row>
    <row r="35" spans="2:45" x14ac:dyDescent="0.2">
      <c r="H35" s="9"/>
    </row>
    <row r="36" spans="2:45" ht="18.75" x14ac:dyDescent="0.2">
      <c r="B36" s="34" t="s">
        <v>119</v>
      </c>
      <c r="C36" s="66"/>
      <c r="D36" s="85"/>
      <c r="E36" s="85"/>
      <c r="F36" s="85"/>
      <c r="H36" s="9"/>
      <c r="M36" s="54" t="s">
        <v>2</v>
      </c>
      <c r="N36" s="16"/>
      <c r="O36" s="42"/>
      <c r="P36" s="65">
        <f t="shared" ref="P36:AS36" si="32">P19</f>
        <v>44083.993285714285</v>
      </c>
      <c r="Q36" s="65">
        <f t="shared" si="32"/>
        <v>44380.50871714286</v>
      </c>
      <c r="R36" s="65">
        <f t="shared" si="32"/>
        <v>44676.244505871437</v>
      </c>
      <c r="S36" s="65">
        <f t="shared" si="32"/>
        <v>44971.095149838868</v>
      </c>
      <c r="T36" s="65">
        <f t="shared" si="32"/>
        <v>45264.951310725308</v>
      </c>
      <c r="U36" s="65">
        <f t="shared" si="32"/>
        <v>45557.69968713315</v>
      </c>
      <c r="V36" s="65">
        <f t="shared" si="32"/>
        <v>45849.222883408089</v>
      </c>
      <c r="W36" s="65">
        <f t="shared" si="32"/>
        <v>46071.153562863416</v>
      </c>
      <c r="X36" s="65">
        <f t="shared" si="32"/>
        <v>46289.909088509012</v>
      </c>
      <c r="Y36" s="65">
        <f t="shared" si="32"/>
        <v>46505.323290409971</v>
      </c>
      <c r="Z36" s="65">
        <f t="shared" si="32"/>
        <v>46717.224587396835</v>
      </c>
      <c r="AA36" s="65">
        <f t="shared" si="32"/>
        <v>46925.435815515622</v>
      </c>
      <c r="AB36" s="65">
        <f t="shared" si="32"/>
        <v>47129.774050716078</v>
      </c>
      <c r="AC36" s="65">
        <f t="shared" si="32"/>
        <v>47330.050425571302</v>
      </c>
      <c r="AD36" s="65">
        <f t="shared" si="32"/>
        <v>47526.069939814377</v>
      </c>
      <c r="AE36" s="65">
        <f t="shared" si="32"/>
        <v>47717.631264469994</v>
      </c>
      <c r="AF36" s="65">
        <f t="shared" si="32"/>
        <v>47904.526539350576</v>
      </c>
      <c r="AG36" s="65">
        <f t="shared" si="32"/>
        <v>48086.541163676811</v>
      </c>
      <c r="AH36" s="65">
        <f t="shared" si="32"/>
        <v>48263.453579575231</v>
      </c>
      <c r="AI36" s="65">
        <f t="shared" si="32"/>
        <v>48435.03504819407</v>
      </c>
      <c r="AJ36" s="65">
        <f t="shared" si="32"/>
        <v>48601.0494181709</v>
      </c>
      <c r="AK36" s="65">
        <f t="shared" si="32"/>
        <v>48761.252886173315</v>
      </c>
      <c r="AL36" s="65">
        <f t="shared" si="32"/>
        <v>48915.393749225492</v>
      </c>
      <c r="AM36" s="65">
        <f t="shared" si="32"/>
        <v>49063.212148521081</v>
      </c>
      <c r="AN36" s="65">
        <f t="shared" si="32"/>
        <v>49204.439804411959</v>
      </c>
      <c r="AO36" s="65">
        <f t="shared" si="32"/>
        <v>49338.79974225074</v>
      </c>
      <c r="AP36" s="65">
        <f t="shared" si="32"/>
        <v>49466.006008752724</v>
      </c>
      <c r="AQ36" s="65">
        <f t="shared" si="32"/>
        <v>49585.763378529817</v>
      </c>
      <c r="AR36" s="65">
        <f t="shared" si="32"/>
        <v>49697.767050436087</v>
      </c>
      <c r="AS36" s="65">
        <f t="shared" si="32"/>
        <v>49801.702333350979</v>
      </c>
    </row>
    <row r="37" spans="2:45" ht="15" x14ac:dyDescent="0.2">
      <c r="B37" s="61" t="s">
        <v>120</v>
      </c>
      <c r="C37" s="16"/>
      <c r="D37" s="23">
        <v>10</v>
      </c>
      <c r="F37" s="87" t="s">
        <v>122</v>
      </c>
      <c r="H37" s="9"/>
      <c r="M37" s="53" t="s">
        <v>3</v>
      </c>
      <c r="N37" s="16"/>
      <c r="O37" s="16"/>
      <c r="P37" s="65">
        <f t="shared" ref="P37:AS37" si="33">P21</f>
        <v>-8569.9500000000007</v>
      </c>
      <c r="Q37" s="65">
        <f t="shared" si="33"/>
        <v>-8118.9</v>
      </c>
      <c r="R37" s="65">
        <f t="shared" si="33"/>
        <v>-7667.85</v>
      </c>
      <c r="S37" s="65">
        <f t="shared" si="33"/>
        <v>-7216.8</v>
      </c>
      <c r="T37" s="65">
        <f t="shared" si="33"/>
        <v>-6765.75</v>
      </c>
      <c r="U37" s="65">
        <f t="shared" si="33"/>
        <v>-6314.7</v>
      </c>
      <c r="V37" s="65">
        <f t="shared" si="33"/>
        <v>-5863.65</v>
      </c>
      <c r="W37" s="65">
        <f t="shared" si="33"/>
        <v>-5412.6</v>
      </c>
      <c r="X37" s="65">
        <f t="shared" si="33"/>
        <v>-4961.55</v>
      </c>
      <c r="Y37" s="65">
        <f t="shared" si="33"/>
        <v>-4510.5</v>
      </c>
      <c r="Z37" s="65">
        <f t="shared" si="33"/>
        <v>-4059.45</v>
      </c>
      <c r="AA37" s="65">
        <f t="shared" si="33"/>
        <v>-3608.4</v>
      </c>
      <c r="AB37" s="65">
        <f t="shared" si="33"/>
        <v>-3157.35</v>
      </c>
      <c r="AC37" s="65">
        <f t="shared" si="33"/>
        <v>-2706.3</v>
      </c>
      <c r="AD37" s="65">
        <f t="shared" si="33"/>
        <v>-2255.25</v>
      </c>
      <c r="AE37" s="65">
        <f t="shared" si="33"/>
        <v>-1804.2</v>
      </c>
      <c r="AF37" s="65">
        <f t="shared" si="33"/>
        <v>-1353.15</v>
      </c>
      <c r="AG37" s="65">
        <f t="shared" si="33"/>
        <v>-902.1</v>
      </c>
      <c r="AH37" s="65">
        <f t="shared" si="33"/>
        <v>-451.05</v>
      </c>
      <c r="AI37" s="65">
        <f t="shared" si="33"/>
        <v>0</v>
      </c>
      <c r="AJ37" s="65">
        <f t="shared" si="33"/>
        <v>0</v>
      </c>
      <c r="AK37" s="65">
        <f t="shared" si="33"/>
        <v>0</v>
      </c>
      <c r="AL37" s="65">
        <f t="shared" si="33"/>
        <v>0</v>
      </c>
      <c r="AM37" s="65">
        <f t="shared" si="33"/>
        <v>0</v>
      </c>
      <c r="AN37" s="65">
        <f t="shared" si="33"/>
        <v>0</v>
      </c>
      <c r="AO37" s="65">
        <f t="shared" si="33"/>
        <v>0</v>
      </c>
      <c r="AP37" s="65">
        <f t="shared" si="33"/>
        <v>0</v>
      </c>
      <c r="AQ37" s="65">
        <f t="shared" si="33"/>
        <v>0</v>
      </c>
      <c r="AR37" s="65">
        <f t="shared" si="33"/>
        <v>0</v>
      </c>
      <c r="AS37" s="65">
        <f t="shared" si="33"/>
        <v>0</v>
      </c>
    </row>
    <row r="38" spans="2:45" ht="15" x14ac:dyDescent="0.2">
      <c r="B38" s="61" t="s">
        <v>121</v>
      </c>
      <c r="D38" s="23">
        <v>13</v>
      </c>
      <c r="F38" s="87" t="s">
        <v>134</v>
      </c>
      <c r="H38" s="9"/>
      <c r="M38" s="53" t="s">
        <v>71</v>
      </c>
      <c r="N38" s="16"/>
      <c r="O38" s="16"/>
      <c r="P38" s="65">
        <f t="shared" ref="P38:AS38" si="34">P27</f>
        <v>-2915.4439928571433</v>
      </c>
      <c r="Q38" s="65">
        <f t="shared" si="34"/>
        <v>-3027.5788075714286</v>
      </c>
      <c r="R38" s="65">
        <f t="shared" si="34"/>
        <v>-3139.5966758807158</v>
      </c>
      <c r="S38" s="65">
        <f t="shared" si="34"/>
        <v>-3251.4817724758295</v>
      </c>
      <c r="T38" s="65">
        <f t="shared" si="34"/>
        <v>-3363.2176966087959</v>
      </c>
      <c r="U38" s="65">
        <f t="shared" si="34"/>
        <v>-3474.7874530699728</v>
      </c>
      <c r="V38" s="65">
        <f t="shared" si="34"/>
        <v>-3586.1734325112129</v>
      </c>
      <c r="W38" s="65">
        <f t="shared" si="34"/>
        <v>-3687.1205344295122</v>
      </c>
      <c r="X38" s="65">
        <f t="shared" si="34"/>
        <v>-3787.5913632763513</v>
      </c>
      <c r="Y38" s="65">
        <f t="shared" si="34"/>
        <v>-3887.5609935614957</v>
      </c>
      <c r="Z38" s="65">
        <f t="shared" si="34"/>
        <v>-3987.0036881095257</v>
      </c>
      <c r="AA38" s="65">
        <f t="shared" si="34"/>
        <v>-4085.892872327343</v>
      </c>
      <c r="AB38" s="65">
        <f t="shared" si="34"/>
        <v>-4184.2011076074114</v>
      </c>
      <c r="AC38" s="65">
        <f t="shared" si="34"/>
        <v>-4281.9000638356947</v>
      </c>
      <c r="AD38" s="65">
        <f t="shared" si="34"/>
        <v>-4378.9604909721565</v>
      </c>
      <c r="AE38" s="65">
        <f t="shared" si="34"/>
        <v>-4475.3521896704997</v>
      </c>
      <c r="AF38" s="65">
        <f t="shared" si="34"/>
        <v>-4571.0439809025856</v>
      </c>
      <c r="AG38" s="65">
        <f t="shared" si="34"/>
        <v>-4666.0036745515217</v>
      </c>
      <c r="AH38" s="65">
        <f t="shared" si="34"/>
        <v>-4760.1980369362836</v>
      </c>
      <c r="AI38" s="65">
        <f t="shared" si="34"/>
        <v>-4853.5927572291102</v>
      </c>
      <c r="AJ38" s="65">
        <f t="shared" si="34"/>
        <v>-4878.494912725635</v>
      </c>
      <c r="AK38" s="65">
        <f t="shared" si="34"/>
        <v>-4902.5254329259969</v>
      </c>
      <c r="AL38" s="65">
        <f t="shared" si="34"/>
        <v>-4925.6465623838239</v>
      </c>
      <c r="AM38" s="65">
        <f t="shared" si="34"/>
        <v>-4947.819322278162</v>
      </c>
      <c r="AN38" s="65">
        <f t="shared" si="34"/>
        <v>-4969.0034706617935</v>
      </c>
      <c r="AO38" s="65">
        <f t="shared" si="34"/>
        <v>-4989.1574613376106</v>
      </c>
      <c r="AP38" s="65">
        <f t="shared" si="34"/>
        <v>-5008.2384013129085</v>
      </c>
      <c r="AQ38" s="65">
        <f t="shared" si="34"/>
        <v>-5026.202006779472</v>
      </c>
      <c r="AR38" s="65">
        <f t="shared" si="34"/>
        <v>-5043.0025575654126</v>
      </c>
      <c r="AS38" s="65">
        <f t="shared" si="34"/>
        <v>-5058.5928500026466</v>
      </c>
    </row>
    <row r="39" spans="2:45" ht="15" x14ac:dyDescent="0.2">
      <c r="M39" s="73" t="s">
        <v>70</v>
      </c>
      <c r="N39" s="16"/>
      <c r="O39" s="16"/>
      <c r="P39" s="65">
        <f t="shared" ref="P39:AS39" si="35">-P46</f>
        <v>-14550</v>
      </c>
      <c r="Q39" s="65">
        <f t="shared" si="35"/>
        <v>-14550</v>
      </c>
      <c r="R39" s="65">
        <f t="shared" si="35"/>
        <v>-14550</v>
      </c>
      <c r="S39" s="65">
        <f t="shared" si="35"/>
        <v>-14550</v>
      </c>
      <c r="T39" s="65">
        <f t="shared" si="35"/>
        <v>-14550</v>
      </c>
      <c r="U39" s="65">
        <f t="shared" si="35"/>
        <v>-14550</v>
      </c>
      <c r="V39" s="65">
        <f t="shared" si="35"/>
        <v>-14550</v>
      </c>
      <c r="W39" s="65">
        <f t="shared" si="35"/>
        <v>-14550</v>
      </c>
      <c r="X39" s="65">
        <f t="shared" si="35"/>
        <v>-14550</v>
      </c>
      <c r="Y39" s="65">
        <f t="shared" si="35"/>
        <v>-14550</v>
      </c>
      <c r="Z39" s="65">
        <f t="shared" si="35"/>
        <v>-14550</v>
      </c>
      <c r="AA39" s="65">
        <f t="shared" si="35"/>
        <v>-14550</v>
      </c>
      <c r="AB39" s="65">
        <f t="shared" si="35"/>
        <v>-14550</v>
      </c>
      <c r="AC39" s="65">
        <f t="shared" si="35"/>
        <v>-14550</v>
      </c>
      <c r="AD39" s="65">
        <f t="shared" si="35"/>
        <v>-14550</v>
      </c>
      <c r="AE39" s="65">
        <f t="shared" si="35"/>
        <v>-14550</v>
      </c>
      <c r="AF39" s="65">
        <f t="shared" si="35"/>
        <v>-14550</v>
      </c>
      <c r="AG39" s="65">
        <f t="shared" si="35"/>
        <v>-14550</v>
      </c>
      <c r="AH39" s="65">
        <f t="shared" si="35"/>
        <v>-14550</v>
      </c>
      <c r="AI39" s="65">
        <f t="shared" si="35"/>
        <v>-14550</v>
      </c>
      <c r="AJ39" s="65">
        <f t="shared" si="35"/>
        <v>0</v>
      </c>
      <c r="AK39" s="65">
        <f t="shared" si="35"/>
        <v>0</v>
      </c>
      <c r="AL39" s="65">
        <f t="shared" si="35"/>
        <v>0</v>
      </c>
      <c r="AM39" s="65">
        <f t="shared" si="35"/>
        <v>0</v>
      </c>
      <c r="AN39" s="65">
        <f t="shared" si="35"/>
        <v>0</v>
      </c>
      <c r="AO39" s="65">
        <f t="shared" si="35"/>
        <v>0</v>
      </c>
      <c r="AP39" s="65">
        <f t="shared" si="35"/>
        <v>0</v>
      </c>
      <c r="AQ39" s="65">
        <f t="shared" si="35"/>
        <v>0</v>
      </c>
      <c r="AR39" s="65">
        <f t="shared" si="35"/>
        <v>0</v>
      </c>
      <c r="AS39" s="65">
        <f t="shared" si="35"/>
        <v>0</v>
      </c>
    </row>
    <row r="40" spans="2:45" ht="19.5" thickBot="1" x14ac:dyDescent="0.25">
      <c r="B40" s="34" t="s">
        <v>0</v>
      </c>
      <c r="C40" s="66"/>
      <c r="D40" s="66"/>
      <c r="E40" s="66"/>
      <c r="F40" s="67"/>
    </row>
    <row r="41" spans="2:45" ht="16.5" thickBot="1" x14ac:dyDescent="0.25">
      <c r="B41" s="16" t="s">
        <v>62</v>
      </c>
      <c r="C41" s="16"/>
      <c r="D41" s="59">
        <f>D16+D17+D18+D15</f>
        <v>50925</v>
      </c>
      <c r="M41" s="91" t="s">
        <v>136</v>
      </c>
      <c r="N41" s="92"/>
      <c r="O41" s="93">
        <f>-D44</f>
        <v>-244925</v>
      </c>
      <c r="P41" s="93">
        <f>SUM(P36:P39)</f>
        <v>18048.599292857143</v>
      </c>
      <c r="Q41" s="93">
        <f t="shared" ref="Q41:AH41" si="36">SUM(Q36:Q39)</f>
        <v>18684.029909571429</v>
      </c>
      <c r="R41" s="93">
        <f t="shared" si="36"/>
        <v>19318.797829990719</v>
      </c>
      <c r="S41" s="93">
        <f t="shared" si="36"/>
        <v>19952.813377363032</v>
      </c>
      <c r="T41" s="93">
        <f t="shared" si="36"/>
        <v>20585.983614116514</v>
      </c>
      <c r="U41" s="93">
        <f t="shared" si="36"/>
        <v>21218.212234063183</v>
      </c>
      <c r="V41" s="93">
        <f t="shared" si="36"/>
        <v>21849.399450896875</v>
      </c>
      <c r="W41" s="93">
        <f t="shared" si="36"/>
        <v>22421.433028433908</v>
      </c>
      <c r="X41" s="93">
        <f t="shared" si="36"/>
        <v>22990.767725232654</v>
      </c>
      <c r="Y41" s="93">
        <f t="shared" si="36"/>
        <v>23557.262296848479</v>
      </c>
      <c r="Z41" s="93">
        <f t="shared" si="36"/>
        <v>24120.770899287309</v>
      </c>
      <c r="AA41" s="93">
        <f t="shared" si="36"/>
        <v>24681.142943188279</v>
      </c>
      <c r="AB41" s="93">
        <f t="shared" si="36"/>
        <v>25238.222943108667</v>
      </c>
      <c r="AC41" s="93">
        <f t="shared" si="36"/>
        <v>25791.850361735604</v>
      </c>
      <c r="AD41" s="93">
        <f t="shared" si="36"/>
        <v>26341.859448842224</v>
      </c>
      <c r="AE41" s="93">
        <f t="shared" si="36"/>
        <v>26888.079074799498</v>
      </c>
      <c r="AF41" s="93">
        <f t="shared" si="36"/>
        <v>27430.33255844799</v>
      </c>
      <c r="AG41" s="93">
        <f t="shared" si="36"/>
        <v>27968.437489125288</v>
      </c>
      <c r="AH41" s="93">
        <f t="shared" si="36"/>
        <v>28502.205542638942</v>
      </c>
      <c r="AI41" s="93">
        <f t="shared" ref="AI41:AS41" si="37">SUM(AI36:AI39)</f>
        <v>29031.442290964958</v>
      </c>
      <c r="AJ41" s="93">
        <f t="shared" si="37"/>
        <v>43722.554505445267</v>
      </c>
      <c r="AK41" s="93">
        <f t="shared" si="37"/>
        <v>43858.727453247317</v>
      </c>
      <c r="AL41" s="93">
        <f t="shared" si="37"/>
        <v>43989.747186841669</v>
      </c>
      <c r="AM41" s="93">
        <f t="shared" si="37"/>
        <v>44115.392826242918</v>
      </c>
      <c r="AN41" s="93">
        <f t="shared" si="37"/>
        <v>44235.436333750164</v>
      </c>
      <c r="AO41" s="93">
        <f t="shared" si="37"/>
        <v>44349.642280913133</v>
      </c>
      <c r="AP41" s="93">
        <f t="shared" si="37"/>
        <v>44457.767607439819</v>
      </c>
      <c r="AQ41" s="93">
        <f t="shared" si="37"/>
        <v>44559.561371750344</v>
      </c>
      <c r="AR41" s="93">
        <f t="shared" si="37"/>
        <v>44654.764492870672</v>
      </c>
      <c r="AS41" s="101">
        <f t="shared" si="37"/>
        <v>44743.109483348329</v>
      </c>
    </row>
    <row r="42" spans="2:45" ht="15" x14ac:dyDescent="0.2">
      <c r="B42" s="61" t="s">
        <v>64</v>
      </c>
      <c r="C42" s="16"/>
      <c r="D42" s="21">
        <f>D14*(1-D32)</f>
        <v>194000</v>
      </c>
      <c r="M42" s="102" t="s">
        <v>73</v>
      </c>
      <c r="N42" s="103"/>
      <c r="O42" s="103"/>
      <c r="P42" s="104">
        <f t="shared" ref="P42:AS42" si="38">P41/$D$19</f>
        <v>3.3677472207598348E-2</v>
      </c>
      <c r="Q42" s="104">
        <f t="shared" si="38"/>
        <v>3.4863142994955319E-2</v>
      </c>
      <c r="R42" s="104">
        <f t="shared" si="38"/>
        <v>3.604757723560334E-2</v>
      </c>
      <c r="S42" s="104">
        <f t="shared" si="38"/>
        <v>3.7230607598755482E-2</v>
      </c>
      <c r="T42" s="104">
        <f t="shared" si="38"/>
        <v>3.8412060669154292E-2</v>
      </c>
      <c r="U42" s="104">
        <f t="shared" si="38"/>
        <v>3.9591756745931211E-2</v>
      </c>
      <c r="V42" s="104">
        <f t="shared" si="38"/>
        <v>4.0769509634551247E-2</v>
      </c>
      <c r="W42" s="104">
        <f t="shared" si="38"/>
        <v>4.1836885811324172E-2</v>
      </c>
      <c r="X42" s="104">
        <f t="shared" si="38"/>
        <v>4.2899226058184733E-2</v>
      </c>
      <c r="Y42" s="104">
        <f t="shared" si="38"/>
        <v>4.3956266822500312E-2</v>
      </c>
      <c r="Z42" s="104">
        <f t="shared" si="38"/>
        <v>4.5007735969188431E-2</v>
      </c>
      <c r="AA42" s="104">
        <f t="shared" si="38"/>
        <v>4.6053352508631393E-2</v>
      </c>
      <c r="AB42" s="104">
        <f t="shared" si="38"/>
        <v>4.7092826315452099E-2</v>
      </c>
      <c r="AC42" s="104">
        <f t="shared" si="38"/>
        <v>4.8125857837823582E-2</v>
      </c>
      <c r="AD42" s="104">
        <f t="shared" si="38"/>
        <v>4.9152137796972008E-2</v>
      </c>
      <c r="AE42" s="104">
        <f t="shared" si="38"/>
        <v>5.0171346876520966E-2</v>
      </c>
      <c r="AF42" s="104">
        <f t="shared" si="38"/>
        <v>5.1183155401311735E-2</v>
      </c>
      <c r="AG42" s="104">
        <f t="shared" si="38"/>
        <v>5.2187223005318445E-2</v>
      </c>
      <c r="AH42" s="104">
        <f t="shared" si="38"/>
        <v>5.3183198288265975E-2</v>
      </c>
      <c r="AI42" s="104">
        <f t="shared" si="38"/>
        <v>5.4170718460540113E-2</v>
      </c>
      <c r="AJ42" s="104">
        <f t="shared" si="38"/>
        <v>8.1583345627550999E-2</v>
      </c>
      <c r="AK42" s="104">
        <f t="shared" si="38"/>
        <v>8.1837435188220953E-2</v>
      </c>
      <c r="AL42" s="104">
        <f t="shared" si="38"/>
        <v>8.2081909197819977E-2</v>
      </c>
      <c r="AM42" s="104">
        <f t="shared" si="38"/>
        <v>8.2316355509153186E-2</v>
      </c>
      <c r="AN42" s="104">
        <f t="shared" si="38"/>
        <v>8.2540348619210085E-2</v>
      </c>
      <c r="AO42" s="104">
        <f t="shared" si="38"/>
        <v>8.2753449234339013E-2</v>
      </c>
      <c r="AP42" s="104">
        <f t="shared" si="38"/>
        <v>8.2955203820384973E-2</v>
      </c>
      <c r="AQ42" s="104">
        <f t="shared" si="38"/>
        <v>8.3145144137239987E-2</v>
      </c>
      <c r="AR42" s="104">
        <f t="shared" si="38"/>
        <v>8.3322786757234077E-2</v>
      </c>
      <c r="AS42" s="104">
        <f t="shared" si="38"/>
        <v>8.3487632566773953E-2</v>
      </c>
    </row>
    <row r="43" spans="2:45" ht="15" x14ac:dyDescent="0.2">
      <c r="M43" s="102" t="s">
        <v>74</v>
      </c>
      <c r="N43" s="103"/>
      <c r="O43" s="103"/>
      <c r="P43" s="104">
        <f t="shared" ref="P43:AS43" si="39">P41/$D$44</f>
        <v>7.3690310474051821E-2</v>
      </c>
      <c r="Q43" s="104">
        <f t="shared" si="39"/>
        <v>7.6284699028565592E-2</v>
      </c>
      <c r="R43" s="104">
        <f t="shared" si="39"/>
        <v>7.8876381871963747E-2</v>
      </c>
      <c r="S43" s="104">
        <f t="shared" si="39"/>
        <v>8.1464992864603583E-2</v>
      </c>
      <c r="T43" s="104">
        <f t="shared" si="39"/>
        <v>8.4050152553298008E-2</v>
      </c>
      <c r="U43" s="104">
        <f t="shared" si="39"/>
        <v>8.663146773119601E-2</v>
      </c>
      <c r="V43" s="104">
        <f t="shared" si="39"/>
        <v>8.9208530982532924E-2</v>
      </c>
      <c r="W43" s="104">
        <f t="shared" si="39"/>
        <v>9.1544076874283592E-2</v>
      </c>
      <c r="X43" s="104">
        <f t="shared" si="39"/>
        <v>9.3868603553057692E-2</v>
      </c>
      <c r="Y43" s="104">
        <f t="shared" si="39"/>
        <v>9.6181534334381869E-2</v>
      </c>
      <c r="Z43" s="104">
        <f t="shared" si="39"/>
        <v>9.8482273754362804E-2</v>
      </c>
      <c r="AA43" s="104">
        <f t="shared" si="39"/>
        <v>0.10077020697433206</v>
      </c>
      <c r="AB43" s="104">
        <f t="shared" si="39"/>
        <v>0.10304469916549421</v>
      </c>
      <c r="AC43" s="104">
        <f t="shared" si="39"/>
        <v>0.10530509487286151</v>
      </c>
      <c r="AD43" s="104">
        <f t="shared" si="39"/>
        <v>0.10755071735773084</v>
      </c>
      <c r="AE43" s="104">
        <f t="shared" si="39"/>
        <v>0.10978086791793201</v>
      </c>
      <c r="AF43" s="104">
        <f t="shared" si="39"/>
        <v>0.11199482518504844</v>
      </c>
      <c r="AG43" s="104">
        <f t="shared" si="39"/>
        <v>0.11419184439777601</v>
      </c>
      <c r="AH43" s="104">
        <f t="shared" si="39"/>
        <v>0.11637115665056218</v>
      </c>
      <c r="AI43" s="104">
        <f t="shared" si="39"/>
        <v>0.11853196811662738</v>
      </c>
      <c r="AJ43" s="104">
        <f t="shared" si="39"/>
        <v>0.1785140533038492</v>
      </c>
      <c r="AK43" s="104">
        <f t="shared" si="39"/>
        <v>0.17907003145145378</v>
      </c>
      <c r="AL43" s="104">
        <f t="shared" si="39"/>
        <v>0.17960496963087341</v>
      </c>
      <c r="AM43" s="104">
        <f t="shared" si="39"/>
        <v>0.18011796601507776</v>
      </c>
      <c r="AN43" s="104">
        <f t="shared" si="39"/>
        <v>0.18060808955292504</v>
      </c>
      <c r="AO43" s="104">
        <f t="shared" si="39"/>
        <v>0.18107437901771209</v>
      </c>
      <c r="AP43" s="104">
        <f t="shared" si="39"/>
        <v>0.18151584202282256</v>
      </c>
      <c r="AQ43" s="104">
        <f t="shared" si="39"/>
        <v>0.18193145400326771</v>
      </c>
      <c r="AR43" s="104">
        <f t="shared" si="39"/>
        <v>0.18232015716186861</v>
      </c>
      <c r="AS43" s="104">
        <f t="shared" si="39"/>
        <v>0.18268085937878262</v>
      </c>
    </row>
    <row r="44" spans="2:45" ht="15" x14ac:dyDescent="0.2">
      <c r="B44" s="61" t="s">
        <v>65</v>
      </c>
      <c r="C44" s="22"/>
      <c r="D44" s="72">
        <f>D42+D41</f>
        <v>244925</v>
      </c>
    </row>
    <row r="45" spans="2:45" ht="15" x14ac:dyDescent="0.2">
      <c r="B45" s="69" t="s">
        <v>66</v>
      </c>
      <c r="C45" s="70"/>
      <c r="D45" s="71">
        <f>D14*D32</f>
        <v>291000</v>
      </c>
      <c r="M45" s="80" t="s">
        <v>69</v>
      </c>
      <c r="N45" s="80"/>
      <c r="O45" s="81">
        <f>D45</f>
        <v>291000</v>
      </c>
      <c r="P45" s="81">
        <f>O45-P46</f>
        <v>276450</v>
      </c>
      <c r="Q45" s="81">
        <f t="shared" ref="Q45:AH45" si="40">P45-Q46</f>
        <v>261900</v>
      </c>
      <c r="R45" s="81">
        <f t="shared" si="40"/>
        <v>247350</v>
      </c>
      <c r="S45" s="81">
        <f t="shared" si="40"/>
        <v>232800</v>
      </c>
      <c r="T45" s="81">
        <f t="shared" si="40"/>
        <v>218250</v>
      </c>
      <c r="U45" s="81">
        <f t="shared" si="40"/>
        <v>203700</v>
      </c>
      <c r="V45" s="81">
        <f t="shared" si="40"/>
        <v>189150</v>
      </c>
      <c r="W45" s="81">
        <f t="shared" si="40"/>
        <v>174600</v>
      </c>
      <c r="X45" s="81">
        <f t="shared" si="40"/>
        <v>160050</v>
      </c>
      <c r="Y45" s="81">
        <f t="shared" si="40"/>
        <v>145500</v>
      </c>
      <c r="Z45" s="81">
        <f t="shared" si="40"/>
        <v>130950</v>
      </c>
      <c r="AA45" s="81">
        <f t="shared" si="40"/>
        <v>116400</v>
      </c>
      <c r="AB45" s="81">
        <f t="shared" si="40"/>
        <v>101850</v>
      </c>
      <c r="AC45" s="81">
        <f t="shared" si="40"/>
        <v>87300</v>
      </c>
      <c r="AD45" s="81">
        <f t="shared" si="40"/>
        <v>72750</v>
      </c>
      <c r="AE45" s="81">
        <f t="shared" si="40"/>
        <v>58200</v>
      </c>
      <c r="AF45" s="81">
        <f t="shared" si="40"/>
        <v>43650</v>
      </c>
      <c r="AG45" s="81">
        <f t="shared" si="40"/>
        <v>29100</v>
      </c>
      <c r="AH45" s="81">
        <f t="shared" si="40"/>
        <v>14550</v>
      </c>
      <c r="AI45" s="81">
        <f t="shared" ref="AI45:AS45" si="41">AH45-AI46</f>
        <v>0</v>
      </c>
      <c r="AJ45" s="81">
        <f t="shared" si="41"/>
        <v>0</v>
      </c>
      <c r="AK45" s="81">
        <f t="shared" si="41"/>
        <v>0</v>
      </c>
      <c r="AL45" s="81">
        <f t="shared" si="41"/>
        <v>0</v>
      </c>
      <c r="AM45" s="81">
        <f t="shared" si="41"/>
        <v>0</v>
      </c>
      <c r="AN45" s="81">
        <f t="shared" si="41"/>
        <v>0</v>
      </c>
      <c r="AO45" s="81">
        <f t="shared" si="41"/>
        <v>0</v>
      </c>
      <c r="AP45" s="81">
        <f t="shared" si="41"/>
        <v>0</v>
      </c>
      <c r="AQ45" s="81">
        <f t="shared" si="41"/>
        <v>0</v>
      </c>
      <c r="AR45" s="81">
        <f t="shared" si="41"/>
        <v>0</v>
      </c>
      <c r="AS45" s="81">
        <f t="shared" si="41"/>
        <v>0</v>
      </c>
    </row>
    <row r="46" spans="2:45" ht="15" x14ac:dyDescent="0.2">
      <c r="M46" s="73" t="s">
        <v>70</v>
      </c>
      <c r="N46" s="73"/>
      <c r="O46" s="73"/>
      <c r="P46" s="82">
        <f t="shared" ref="P46:AS46" si="42">IF(P2&lt;=$D$33,$D$47,0)</f>
        <v>14550</v>
      </c>
      <c r="Q46" s="82">
        <f t="shared" si="42"/>
        <v>14550</v>
      </c>
      <c r="R46" s="82">
        <f t="shared" si="42"/>
        <v>14550</v>
      </c>
      <c r="S46" s="82">
        <f t="shared" si="42"/>
        <v>14550</v>
      </c>
      <c r="T46" s="82">
        <f t="shared" si="42"/>
        <v>14550</v>
      </c>
      <c r="U46" s="82">
        <f t="shared" si="42"/>
        <v>14550</v>
      </c>
      <c r="V46" s="82">
        <f t="shared" si="42"/>
        <v>14550</v>
      </c>
      <c r="W46" s="82">
        <f t="shared" si="42"/>
        <v>14550</v>
      </c>
      <c r="X46" s="82">
        <f t="shared" si="42"/>
        <v>14550</v>
      </c>
      <c r="Y46" s="82">
        <f t="shared" si="42"/>
        <v>14550</v>
      </c>
      <c r="Z46" s="82">
        <f t="shared" si="42"/>
        <v>14550</v>
      </c>
      <c r="AA46" s="82">
        <f t="shared" si="42"/>
        <v>14550</v>
      </c>
      <c r="AB46" s="82">
        <f t="shared" si="42"/>
        <v>14550</v>
      </c>
      <c r="AC46" s="82">
        <f t="shared" si="42"/>
        <v>14550</v>
      </c>
      <c r="AD46" s="82">
        <f t="shared" si="42"/>
        <v>14550</v>
      </c>
      <c r="AE46" s="82">
        <f t="shared" si="42"/>
        <v>14550</v>
      </c>
      <c r="AF46" s="82">
        <f t="shared" si="42"/>
        <v>14550</v>
      </c>
      <c r="AG46" s="82">
        <f t="shared" si="42"/>
        <v>14550</v>
      </c>
      <c r="AH46" s="82">
        <f t="shared" si="42"/>
        <v>14550</v>
      </c>
      <c r="AI46" s="82">
        <f t="shared" si="42"/>
        <v>14550</v>
      </c>
      <c r="AJ46" s="82">
        <f t="shared" si="42"/>
        <v>0</v>
      </c>
      <c r="AK46" s="82">
        <f t="shared" si="42"/>
        <v>0</v>
      </c>
      <c r="AL46" s="82">
        <f t="shared" si="42"/>
        <v>0</v>
      </c>
      <c r="AM46" s="82">
        <f t="shared" si="42"/>
        <v>0</v>
      </c>
      <c r="AN46" s="82">
        <f t="shared" si="42"/>
        <v>0</v>
      </c>
      <c r="AO46" s="82">
        <f t="shared" si="42"/>
        <v>0</v>
      </c>
      <c r="AP46" s="82">
        <f t="shared" si="42"/>
        <v>0</v>
      </c>
      <c r="AQ46" s="82">
        <f t="shared" si="42"/>
        <v>0</v>
      </c>
      <c r="AR46" s="82">
        <f t="shared" si="42"/>
        <v>0</v>
      </c>
      <c r="AS46" s="82">
        <f t="shared" si="42"/>
        <v>0</v>
      </c>
    </row>
    <row r="47" spans="2:45" ht="15" x14ac:dyDescent="0.2">
      <c r="B47" s="61" t="s">
        <v>68</v>
      </c>
      <c r="C47" s="16"/>
      <c r="D47" s="51">
        <f>D45/D33</f>
        <v>14550</v>
      </c>
    </row>
    <row r="48" spans="2:45" ht="19.5" thickBot="1" x14ac:dyDescent="0.25">
      <c r="B48" s="63" t="s">
        <v>77</v>
      </c>
      <c r="C48" s="25"/>
      <c r="D48" s="64">
        <f>D34*D45</f>
        <v>9021</v>
      </c>
      <c r="M48" s="79" t="s">
        <v>131</v>
      </c>
      <c r="N48" s="46"/>
      <c r="O48" s="46">
        <v>0</v>
      </c>
      <c r="P48" s="46">
        <f t="shared" ref="P48:AS48" si="43">O48+1</f>
        <v>1</v>
      </c>
      <c r="Q48" s="46">
        <f t="shared" si="43"/>
        <v>2</v>
      </c>
      <c r="R48" s="46">
        <f t="shared" si="43"/>
        <v>3</v>
      </c>
      <c r="S48" s="46">
        <f t="shared" si="43"/>
        <v>4</v>
      </c>
      <c r="T48" s="46">
        <f t="shared" si="43"/>
        <v>5</v>
      </c>
      <c r="U48" s="46">
        <f t="shared" si="43"/>
        <v>6</v>
      </c>
      <c r="V48" s="46">
        <f t="shared" si="43"/>
        <v>7</v>
      </c>
      <c r="W48" s="46">
        <f t="shared" si="43"/>
        <v>8</v>
      </c>
      <c r="X48" s="46">
        <f t="shared" si="43"/>
        <v>9</v>
      </c>
      <c r="Y48" s="46">
        <f t="shared" si="43"/>
        <v>10</v>
      </c>
      <c r="Z48" s="46">
        <f t="shared" si="43"/>
        <v>11</v>
      </c>
      <c r="AA48" s="46">
        <f t="shared" si="43"/>
        <v>12</v>
      </c>
      <c r="AB48" s="46">
        <f t="shared" si="43"/>
        <v>13</v>
      </c>
      <c r="AC48" s="46">
        <f t="shared" si="43"/>
        <v>14</v>
      </c>
      <c r="AD48" s="46">
        <f t="shared" si="43"/>
        <v>15</v>
      </c>
      <c r="AE48" s="46">
        <f t="shared" si="43"/>
        <v>16</v>
      </c>
      <c r="AF48" s="46">
        <f t="shared" si="43"/>
        <v>17</v>
      </c>
      <c r="AG48" s="46">
        <f t="shared" si="43"/>
        <v>18</v>
      </c>
      <c r="AH48" s="46">
        <f t="shared" si="43"/>
        <v>19</v>
      </c>
      <c r="AI48" s="46">
        <f t="shared" si="43"/>
        <v>20</v>
      </c>
      <c r="AJ48" s="46">
        <f t="shared" si="43"/>
        <v>21</v>
      </c>
      <c r="AK48" s="46">
        <f t="shared" si="43"/>
        <v>22</v>
      </c>
      <c r="AL48" s="46">
        <f t="shared" si="43"/>
        <v>23</v>
      </c>
      <c r="AM48" s="46">
        <f t="shared" si="43"/>
        <v>24</v>
      </c>
      <c r="AN48" s="46">
        <f t="shared" si="43"/>
        <v>25</v>
      </c>
      <c r="AO48" s="46">
        <f t="shared" si="43"/>
        <v>26</v>
      </c>
      <c r="AP48" s="46">
        <f t="shared" si="43"/>
        <v>27</v>
      </c>
      <c r="AQ48" s="46">
        <f t="shared" si="43"/>
        <v>28</v>
      </c>
      <c r="AR48" s="46">
        <f t="shared" si="43"/>
        <v>29</v>
      </c>
      <c r="AS48" s="46">
        <f t="shared" si="43"/>
        <v>30</v>
      </c>
    </row>
    <row r="49" spans="2:47" ht="15" x14ac:dyDescent="0.2">
      <c r="B49" s="53" t="s">
        <v>78</v>
      </c>
      <c r="C49" s="38"/>
      <c r="D49" s="65">
        <f>SUM(D47:D48)</f>
        <v>23571</v>
      </c>
      <c r="M49" s="2" t="s">
        <v>132</v>
      </c>
      <c r="O49" s="21">
        <f t="shared" ref="O49:AS49" si="44">O9*NCRM</f>
        <v>811652.4</v>
      </c>
      <c r="P49" s="21">
        <f t="shared" si="44"/>
        <v>820391.84871428576</v>
      </c>
      <c r="Q49" s="21">
        <f t="shared" si="44"/>
        <v>829224.92116285721</v>
      </c>
      <c r="R49" s="21">
        <f t="shared" si="44"/>
        <v>838152.61587552866</v>
      </c>
      <c r="S49" s="21">
        <f t="shared" si="44"/>
        <v>847175.94199033722</v>
      </c>
      <c r="T49" s="21">
        <f t="shared" si="44"/>
        <v>856295.9193658547</v>
      </c>
      <c r="U49" s="21">
        <f t="shared" si="44"/>
        <v>865513.57869468303</v>
      </c>
      <c r="V49" s="21">
        <f t="shared" si="44"/>
        <v>874829.96161815175</v>
      </c>
      <c r="W49" s="21">
        <f t="shared" si="44"/>
        <v>883578.26123433304</v>
      </c>
      <c r="X49" s="21">
        <f t="shared" si="44"/>
        <v>892414.04384667648</v>
      </c>
      <c r="Y49" s="21">
        <f t="shared" si="44"/>
        <v>901338.18428514316</v>
      </c>
      <c r="Z49" s="21">
        <f t="shared" si="44"/>
        <v>910351.56612799468</v>
      </c>
      <c r="AA49" s="21">
        <f t="shared" si="44"/>
        <v>919455.08178927482</v>
      </c>
      <c r="AB49" s="21">
        <f t="shared" si="44"/>
        <v>928649.63260716747</v>
      </c>
      <c r="AC49" s="21">
        <f t="shared" si="44"/>
        <v>937936.12893323915</v>
      </c>
      <c r="AD49" s="21">
        <f t="shared" si="44"/>
        <v>947315.49022257165</v>
      </c>
      <c r="AE49" s="21">
        <f t="shared" si="44"/>
        <v>956788.64512479724</v>
      </c>
      <c r="AF49" s="21">
        <f t="shared" si="44"/>
        <v>966356.53157604532</v>
      </c>
      <c r="AG49" s="21">
        <f t="shared" si="44"/>
        <v>976020.09689180576</v>
      </c>
      <c r="AH49" s="21">
        <f t="shared" si="44"/>
        <v>985780.2978607238</v>
      </c>
      <c r="AI49" s="21">
        <f t="shared" si="44"/>
        <v>995638.10083933081</v>
      </c>
      <c r="AJ49" s="21">
        <f t="shared" si="44"/>
        <v>1005594.4818477242</v>
      </c>
      <c r="AK49" s="21">
        <f t="shared" si="44"/>
        <v>1015650.4266662017</v>
      </c>
      <c r="AL49" s="21">
        <f t="shared" si="44"/>
        <v>1025806.9309328635</v>
      </c>
      <c r="AM49" s="21">
        <f t="shared" si="44"/>
        <v>1036065.0002421923</v>
      </c>
      <c r="AN49" s="21">
        <f t="shared" si="44"/>
        <v>1046425.6502446143</v>
      </c>
      <c r="AO49" s="21">
        <f t="shared" si="44"/>
        <v>1056889.9067470606</v>
      </c>
      <c r="AP49" s="21">
        <f t="shared" si="44"/>
        <v>1067458.8058145312</v>
      </c>
      <c r="AQ49" s="21">
        <f t="shared" si="44"/>
        <v>1078133.3938726764</v>
      </c>
      <c r="AR49" s="21">
        <f t="shared" si="44"/>
        <v>1088914.7278114031</v>
      </c>
      <c r="AS49" s="21">
        <f t="shared" si="44"/>
        <v>1099803.8750895171</v>
      </c>
    </row>
    <row r="50" spans="2:47" ht="15" x14ac:dyDescent="0.2">
      <c r="M50" s="2" t="s">
        <v>138</v>
      </c>
      <c r="O50" s="21" t="str">
        <f t="shared" ref="O50:AS50" si="45">IF(O48=Exit_Year,-O45,"")</f>
        <v/>
      </c>
      <c r="P50" s="21" t="str">
        <f t="shared" si="45"/>
        <v/>
      </c>
      <c r="Q50" s="21" t="str">
        <f t="shared" si="45"/>
        <v/>
      </c>
      <c r="R50" s="21" t="str">
        <f t="shared" si="45"/>
        <v/>
      </c>
      <c r="S50" s="21" t="str">
        <f t="shared" si="45"/>
        <v/>
      </c>
      <c r="T50" s="21" t="str">
        <f t="shared" si="45"/>
        <v/>
      </c>
      <c r="U50" s="21" t="str">
        <f t="shared" si="45"/>
        <v/>
      </c>
      <c r="V50" s="21" t="str">
        <f t="shared" si="45"/>
        <v/>
      </c>
      <c r="W50" s="21" t="str">
        <f t="shared" si="45"/>
        <v/>
      </c>
      <c r="X50" s="21" t="str">
        <f t="shared" si="45"/>
        <v/>
      </c>
      <c r="Y50" s="21">
        <f t="shared" si="45"/>
        <v>-145500</v>
      </c>
      <c r="Z50" s="21" t="str">
        <f t="shared" si="45"/>
        <v/>
      </c>
      <c r="AA50" s="21" t="str">
        <f t="shared" si="45"/>
        <v/>
      </c>
      <c r="AB50" s="21" t="str">
        <f t="shared" si="45"/>
        <v/>
      </c>
      <c r="AC50" s="21" t="str">
        <f t="shared" si="45"/>
        <v/>
      </c>
      <c r="AD50" s="21" t="str">
        <f t="shared" si="45"/>
        <v/>
      </c>
      <c r="AE50" s="21" t="str">
        <f t="shared" si="45"/>
        <v/>
      </c>
      <c r="AF50" s="21" t="str">
        <f t="shared" si="45"/>
        <v/>
      </c>
      <c r="AG50" s="21" t="str">
        <f t="shared" si="45"/>
        <v/>
      </c>
      <c r="AH50" s="21" t="str">
        <f t="shared" si="45"/>
        <v/>
      </c>
      <c r="AI50" s="21" t="str">
        <f t="shared" si="45"/>
        <v/>
      </c>
      <c r="AJ50" s="21" t="str">
        <f t="shared" si="45"/>
        <v/>
      </c>
      <c r="AK50" s="21" t="str">
        <f t="shared" si="45"/>
        <v/>
      </c>
      <c r="AL50" s="21" t="str">
        <f t="shared" si="45"/>
        <v/>
      </c>
      <c r="AM50" s="21" t="str">
        <f t="shared" si="45"/>
        <v/>
      </c>
      <c r="AN50" s="21" t="str">
        <f t="shared" si="45"/>
        <v/>
      </c>
      <c r="AO50" s="21" t="str">
        <f t="shared" si="45"/>
        <v/>
      </c>
      <c r="AP50" s="21" t="str">
        <f t="shared" si="45"/>
        <v/>
      </c>
      <c r="AQ50" s="21" t="str">
        <f t="shared" si="45"/>
        <v/>
      </c>
      <c r="AR50" s="21" t="str">
        <f t="shared" si="45"/>
        <v/>
      </c>
      <c r="AS50" s="21" t="str">
        <f t="shared" si="45"/>
        <v/>
      </c>
      <c r="AT50" s="21"/>
      <c r="AU50" s="21"/>
    </row>
    <row r="51" spans="2:47" ht="15" x14ac:dyDescent="0.2">
      <c r="B51" s="61" t="s">
        <v>67</v>
      </c>
      <c r="C51" s="16"/>
      <c r="D51" s="51">
        <f>D47/12</f>
        <v>1212.5</v>
      </c>
      <c r="M51" s="2" t="s">
        <v>140</v>
      </c>
      <c r="N51" s="110">
        <v>0.02</v>
      </c>
      <c r="O51" s="21" t="str">
        <f t="shared" ref="O51:AS51" si="46">IF(O48=Exit_Year,-SaleCost*O49,"")</f>
        <v/>
      </c>
      <c r="P51" s="21" t="str">
        <f t="shared" si="46"/>
        <v/>
      </c>
      <c r="Q51" s="21" t="str">
        <f t="shared" si="46"/>
        <v/>
      </c>
      <c r="R51" s="21" t="str">
        <f t="shared" si="46"/>
        <v/>
      </c>
      <c r="S51" s="21" t="str">
        <f t="shared" si="46"/>
        <v/>
      </c>
      <c r="T51" s="21" t="str">
        <f t="shared" si="46"/>
        <v/>
      </c>
      <c r="U51" s="21" t="str">
        <f t="shared" si="46"/>
        <v/>
      </c>
      <c r="V51" s="21" t="str">
        <f t="shared" si="46"/>
        <v/>
      </c>
      <c r="W51" s="21" t="str">
        <f t="shared" si="46"/>
        <v/>
      </c>
      <c r="X51" s="21" t="str">
        <f t="shared" si="46"/>
        <v/>
      </c>
      <c r="Y51" s="21">
        <f t="shared" si="46"/>
        <v>-18026.763685702863</v>
      </c>
      <c r="Z51" s="21" t="str">
        <f t="shared" si="46"/>
        <v/>
      </c>
      <c r="AA51" s="21" t="str">
        <f t="shared" si="46"/>
        <v/>
      </c>
      <c r="AB51" s="21" t="str">
        <f t="shared" si="46"/>
        <v/>
      </c>
      <c r="AC51" s="21" t="str">
        <f t="shared" si="46"/>
        <v/>
      </c>
      <c r="AD51" s="21" t="str">
        <f t="shared" si="46"/>
        <v/>
      </c>
      <c r="AE51" s="21" t="str">
        <f t="shared" si="46"/>
        <v/>
      </c>
      <c r="AF51" s="21" t="str">
        <f t="shared" si="46"/>
        <v/>
      </c>
      <c r="AG51" s="21" t="str">
        <f t="shared" si="46"/>
        <v/>
      </c>
      <c r="AH51" s="21" t="str">
        <f t="shared" si="46"/>
        <v/>
      </c>
      <c r="AI51" s="21" t="str">
        <f t="shared" si="46"/>
        <v/>
      </c>
      <c r="AJ51" s="21" t="str">
        <f t="shared" si="46"/>
        <v/>
      </c>
      <c r="AK51" s="21" t="str">
        <f t="shared" si="46"/>
        <v/>
      </c>
      <c r="AL51" s="21" t="str">
        <f t="shared" si="46"/>
        <v/>
      </c>
      <c r="AM51" s="21" t="str">
        <f t="shared" si="46"/>
        <v/>
      </c>
      <c r="AN51" s="21" t="str">
        <f t="shared" si="46"/>
        <v/>
      </c>
      <c r="AO51" s="21" t="str">
        <f t="shared" si="46"/>
        <v/>
      </c>
      <c r="AP51" s="21" t="str">
        <f t="shared" si="46"/>
        <v/>
      </c>
      <c r="AQ51" s="21" t="str">
        <f t="shared" si="46"/>
        <v/>
      </c>
      <c r="AR51" s="21" t="str">
        <f t="shared" si="46"/>
        <v/>
      </c>
      <c r="AS51" s="21" t="str">
        <f t="shared" si="46"/>
        <v/>
      </c>
    </row>
    <row r="52" spans="2:47" ht="15" x14ac:dyDescent="0.2">
      <c r="B52" s="63" t="s">
        <v>79</v>
      </c>
      <c r="C52" s="25"/>
      <c r="D52" s="64">
        <f>D48/12</f>
        <v>751.75</v>
      </c>
      <c r="M52" s="99" t="s">
        <v>139</v>
      </c>
      <c r="N52" s="99"/>
      <c r="O52" s="100" t="str">
        <f t="shared" ref="O52:AS52" si="47">IF(O48=Exit_Year,O49+O50+O51,"")</f>
        <v/>
      </c>
      <c r="P52" s="100" t="str">
        <f t="shared" si="47"/>
        <v/>
      </c>
      <c r="Q52" s="100" t="str">
        <f t="shared" si="47"/>
        <v/>
      </c>
      <c r="R52" s="100" t="str">
        <f t="shared" si="47"/>
        <v/>
      </c>
      <c r="S52" s="100" t="str">
        <f t="shared" si="47"/>
        <v/>
      </c>
      <c r="T52" s="100" t="str">
        <f t="shared" si="47"/>
        <v/>
      </c>
      <c r="U52" s="100" t="str">
        <f t="shared" si="47"/>
        <v/>
      </c>
      <c r="V52" s="100" t="str">
        <f t="shared" si="47"/>
        <v/>
      </c>
      <c r="W52" s="100" t="str">
        <f t="shared" si="47"/>
        <v/>
      </c>
      <c r="X52" s="100" t="str">
        <f t="shared" si="47"/>
        <v/>
      </c>
      <c r="Y52" s="100">
        <f t="shared" si="47"/>
        <v>737811.42059944035</v>
      </c>
      <c r="Z52" s="100" t="str">
        <f t="shared" si="47"/>
        <v/>
      </c>
      <c r="AA52" s="100" t="str">
        <f t="shared" si="47"/>
        <v/>
      </c>
      <c r="AB52" s="100" t="str">
        <f t="shared" si="47"/>
        <v/>
      </c>
      <c r="AC52" s="100" t="str">
        <f t="shared" si="47"/>
        <v/>
      </c>
      <c r="AD52" s="100" t="str">
        <f t="shared" si="47"/>
        <v/>
      </c>
      <c r="AE52" s="100" t="str">
        <f t="shared" si="47"/>
        <v/>
      </c>
      <c r="AF52" s="100" t="str">
        <f t="shared" si="47"/>
        <v/>
      </c>
      <c r="AG52" s="100" t="str">
        <f t="shared" si="47"/>
        <v/>
      </c>
      <c r="AH52" s="100" t="str">
        <f t="shared" si="47"/>
        <v/>
      </c>
      <c r="AI52" s="100" t="str">
        <f t="shared" si="47"/>
        <v/>
      </c>
      <c r="AJ52" s="100" t="str">
        <f t="shared" si="47"/>
        <v/>
      </c>
      <c r="AK52" s="100" t="str">
        <f t="shared" si="47"/>
        <v/>
      </c>
      <c r="AL52" s="100" t="str">
        <f t="shared" si="47"/>
        <v/>
      </c>
      <c r="AM52" s="100" t="str">
        <f t="shared" si="47"/>
        <v/>
      </c>
      <c r="AN52" s="100" t="str">
        <f t="shared" si="47"/>
        <v/>
      </c>
      <c r="AO52" s="100" t="str">
        <f t="shared" si="47"/>
        <v/>
      </c>
      <c r="AP52" s="100" t="str">
        <f t="shared" si="47"/>
        <v/>
      </c>
      <c r="AQ52" s="100" t="str">
        <f t="shared" si="47"/>
        <v/>
      </c>
      <c r="AR52" s="100" t="str">
        <f t="shared" si="47"/>
        <v/>
      </c>
      <c r="AS52" s="100" t="str">
        <f t="shared" si="47"/>
        <v/>
      </c>
    </row>
    <row r="53" spans="2:47" ht="15.75" thickBot="1" x14ac:dyDescent="0.25">
      <c r="B53" s="53" t="s">
        <v>80</v>
      </c>
      <c r="C53" s="16"/>
      <c r="D53" s="42">
        <f>SUM(D51:D52)</f>
        <v>1964.25</v>
      </c>
    </row>
    <row r="54" spans="2:47" ht="16.5" thickBot="1" x14ac:dyDescent="0.25">
      <c r="B54" s="16"/>
      <c r="C54" s="16"/>
      <c r="D54" s="16"/>
      <c r="M54" s="94" t="s">
        <v>135</v>
      </c>
      <c r="N54" s="92"/>
      <c r="O54" s="93">
        <f>O41</f>
        <v>-244925</v>
      </c>
      <c r="P54" s="93">
        <f t="shared" ref="P54:AS54" si="48">IF(P48=Exit_Year,P52,IF(P48&gt;Exit_Year,"",P41))</f>
        <v>18048.599292857143</v>
      </c>
      <c r="Q54" s="93">
        <f t="shared" si="48"/>
        <v>18684.029909571429</v>
      </c>
      <c r="R54" s="93">
        <f t="shared" si="48"/>
        <v>19318.797829990719</v>
      </c>
      <c r="S54" s="93">
        <f t="shared" si="48"/>
        <v>19952.813377363032</v>
      </c>
      <c r="T54" s="93">
        <f t="shared" si="48"/>
        <v>20585.983614116514</v>
      </c>
      <c r="U54" s="93">
        <f t="shared" si="48"/>
        <v>21218.212234063183</v>
      </c>
      <c r="V54" s="93">
        <f t="shared" si="48"/>
        <v>21849.399450896875</v>
      </c>
      <c r="W54" s="93">
        <f t="shared" si="48"/>
        <v>22421.433028433908</v>
      </c>
      <c r="X54" s="93">
        <f t="shared" si="48"/>
        <v>22990.767725232654</v>
      </c>
      <c r="Y54" s="93">
        <f t="shared" si="48"/>
        <v>737811.42059944035</v>
      </c>
      <c r="Z54" s="93" t="str">
        <f t="shared" si="48"/>
        <v/>
      </c>
      <c r="AA54" s="93" t="str">
        <f t="shared" si="48"/>
        <v/>
      </c>
      <c r="AB54" s="93" t="str">
        <f t="shared" si="48"/>
        <v/>
      </c>
      <c r="AC54" s="93" t="str">
        <f t="shared" si="48"/>
        <v/>
      </c>
      <c r="AD54" s="93" t="str">
        <f t="shared" si="48"/>
        <v/>
      </c>
      <c r="AE54" s="93" t="str">
        <f t="shared" si="48"/>
        <v/>
      </c>
      <c r="AF54" s="93" t="str">
        <f t="shared" si="48"/>
        <v/>
      </c>
      <c r="AG54" s="93" t="str">
        <f t="shared" si="48"/>
        <v/>
      </c>
      <c r="AH54" s="93" t="str">
        <f t="shared" si="48"/>
        <v/>
      </c>
      <c r="AI54" s="93" t="str">
        <f t="shared" si="48"/>
        <v/>
      </c>
      <c r="AJ54" s="93" t="str">
        <f t="shared" si="48"/>
        <v/>
      </c>
      <c r="AK54" s="93" t="str">
        <f t="shared" si="48"/>
        <v/>
      </c>
      <c r="AL54" s="93" t="str">
        <f t="shared" si="48"/>
        <v/>
      </c>
      <c r="AM54" s="93" t="str">
        <f t="shared" si="48"/>
        <v/>
      </c>
      <c r="AN54" s="93" t="str">
        <f t="shared" si="48"/>
        <v/>
      </c>
      <c r="AO54" s="93" t="str">
        <f t="shared" si="48"/>
        <v/>
      </c>
      <c r="AP54" s="93" t="str">
        <f t="shared" si="48"/>
        <v/>
      </c>
      <c r="AQ54" s="93" t="str">
        <f t="shared" si="48"/>
        <v/>
      </c>
      <c r="AR54" s="93" t="str">
        <f t="shared" si="48"/>
        <v/>
      </c>
      <c r="AS54" s="101" t="str">
        <f t="shared" si="48"/>
        <v/>
      </c>
    </row>
    <row r="55" spans="2:47" ht="15" x14ac:dyDescent="0.2">
      <c r="B55" s="16" t="s">
        <v>86</v>
      </c>
      <c r="C55" s="16"/>
      <c r="D55" s="42">
        <f>-SUM(P21:AS21)</f>
        <v>85699.5</v>
      </c>
    </row>
    <row r="57" spans="2:47" ht="18.75" x14ac:dyDescent="0.2">
      <c r="B57" s="34" t="s">
        <v>104</v>
      </c>
      <c r="C57" s="66"/>
      <c r="D57" s="85" t="s">
        <v>75</v>
      </c>
      <c r="E57" s="85" t="s">
        <v>114</v>
      </c>
      <c r="F57" s="86" t="s">
        <v>115</v>
      </c>
    </row>
    <row r="58" spans="2:47" ht="15" x14ac:dyDescent="0.2">
      <c r="B58" s="16" t="s">
        <v>94</v>
      </c>
      <c r="C58" s="16"/>
      <c r="D58" s="42">
        <f>P41</f>
        <v>18048.599292857143</v>
      </c>
      <c r="E58" s="43">
        <f>P43</f>
        <v>7.3690310474051821E-2</v>
      </c>
      <c r="F58" s="44">
        <f>D58/12</f>
        <v>1504.0499410714285</v>
      </c>
    </row>
    <row r="59" spans="2:47" ht="15" x14ac:dyDescent="0.2">
      <c r="B59" s="16" t="s">
        <v>95</v>
      </c>
      <c r="C59" s="16"/>
      <c r="D59" s="42">
        <f>T41</f>
        <v>20585.983614116514</v>
      </c>
      <c r="E59" s="43">
        <f>T43</f>
        <v>8.4050152553298008E-2</v>
      </c>
      <c r="F59" s="44">
        <f>D59/12</f>
        <v>1715.4986345097095</v>
      </c>
    </row>
    <row r="60" spans="2:47" ht="15" x14ac:dyDescent="0.2">
      <c r="B60" s="16" t="s">
        <v>96</v>
      </c>
      <c r="C60" s="16"/>
      <c r="D60" s="42">
        <f>Y41</f>
        <v>23557.262296848479</v>
      </c>
      <c r="E60" s="43">
        <f>Y43</f>
        <v>9.6181534334381869E-2</v>
      </c>
      <c r="F60" s="44">
        <f>D60/12</f>
        <v>1963.1051914040399</v>
      </c>
    </row>
    <row r="61" spans="2:47" ht="15" x14ac:dyDescent="0.2">
      <c r="B61" s="16" t="s">
        <v>97</v>
      </c>
      <c r="C61" s="16"/>
      <c r="D61" s="42">
        <f>AI41</f>
        <v>29031.442290964958</v>
      </c>
      <c r="E61" s="43">
        <f>AI43</f>
        <v>0.11853196811662738</v>
      </c>
      <c r="F61" s="44">
        <f>D61/12</f>
        <v>2419.2868575804132</v>
      </c>
    </row>
    <row r="62" spans="2:47" ht="13.5" thickBot="1" x14ac:dyDescent="0.25"/>
    <row r="63" spans="2:47" ht="16.5" thickBot="1" x14ac:dyDescent="0.25">
      <c r="B63" s="39" t="s">
        <v>118</v>
      </c>
      <c r="C63" s="40"/>
      <c r="D63" s="41">
        <f>IRR(O41:AS41)</f>
        <v>9.2945100630309696E-2</v>
      </c>
    </row>
    <row r="64" spans="2:47" ht="15" x14ac:dyDescent="0.2">
      <c r="B64" s="16" t="s">
        <v>98</v>
      </c>
      <c r="C64" s="16"/>
      <c r="D64" s="77">
        <f>SUM(P41:AS41)/D44</f>
        <v>3.7452622061992953</v>
      </c>
    </row>
    <row r="65" spans="2:4" ht="15" x14ac:dyDescent="0.2">
      <c r="B65" s="16" t="s">
        <v>81</v>
      </c>
      <c r="C65" s="16"/>
      <c r="D65" s="78">
        <f>P19/D19</f>
        <v>8.2257766078675715E-2</v>
      </c>
    </row>
    <row r="66" spans="2:4" ht="15" x14ac:dyDescent="0.2">
      <c r="B66" s="16" t="s">
        <v>117</v>
      </c>
      <c r="C66" s="16"/>
      <c r="D66" s="52">
        <f>P19/-(P37+P39)</f>
        <v>1.9067512380309768</v>
      </c>
    </row>
    <row r="67" spans="2:4" ht="13.5" thickBot="1" x14ac:dyDescent="0.25"/>
    <row r="68" spans="2:4" ht="16.5" thickBot="1" x14ac:dyDescent="0.25">
      <c r="B68" s="39" t="s">
        <v>137</v>
      </c>
      <c r="C68" s="107"/>
      <c r="D68" s="41">
        <f>IRR(O54:AS54)</f>
        <v>0.16833873298517021</v>
      </c>
    </row>
    <row r="69" spans="2:4" ht="15" x14ac:dyDescent="0.2">
      <c r="B69" s="16" t="s">
        <v>141</v>
      </c>
      <c r="C69" s="76" t="s">
        <v>142</v>
      </c>
      <c r="D69" s="77">
        <f>SUM(P54:AS54)/D44</f>
        <v>3.7680165645073629</v>
      </c>
    </row>
    <row r="70" spans="2:4" x14ac:dyDescent="0.2">
      <c r="B70" s="2" t="s">
        <v>134</v>
      </c>
      <c r="C70" s="87" t="s">
        <v>147</v>
      </c>
      <c r="D70" s="108">
        <f>NCRM</f>
        <v>13</v>
      </c>
    </row>
    <row r="71" spans="2:4" x14ac:dyDescent="0.2">
      <c r="B71" s="2" t="s">
        <v>146</v>
      </c>
      <c r="C71" s="87" t="s">
        <v>122</v>
      </c>
      <c r="D71" s="2">
        <f>Exit_Year</f>
        <v>10</v>
      </c>
    </row>
  </sheetData>
  <mergeCells count="1">
    <mergeCell ref="D11:F11"/>
  </mergeCells>
  <phoneticPr fontId="2" type="noConversion"/>
  <pageMargins left="0.75" right="0.75" top="1" bottom="1" header="0.4921259845" footer="0.4921259845"/>
  <pageSetup paperSize="9" orientation="portrait" horizontalDpi="4294967294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119" r:id="rId4">
          <objectPr defaultSize="0" autoPict="0" r:id="rId5">
            <anchor moveWithCells="1" sizeWithCells="1">
              <from>
                <xdr:col>2</xdr:col>
                <xdr:colOff>19050</xdr:colOff>
                <xdr:row>63</xdr:row>
                <xdr:rowOff>0</xdr:rowOff>
              </from>
              <to>
                <xdr:col>4</xdr:col>
                <xdr:colOff>28575</xdr:colOff>
                <xdr:row>63</xdr:row>
                <xdr:rowOff>0</xdr:rowOff>
              </to>
            </anchor>
          </objectPr>
        </oleObject>
      </mc:Choice>
      <mc:Fallback>
        <oleObject progId="Equation.3" shapeId="111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0000"/>
  </sheetPr>
  <dimension ref="B2:E13"/>
  <sheetViews>
    <sheetView zoomScale="140" zoomScaleNormal="140" workbookViewId="0">
      <selection activeCell="C17" sqref="C17"/>
    </sheetView>
  </sheetViews>
  <sheetFormatPr defaultRowHeight="12.75" x14ac:dyDescent="0.2"/>
  <cols>
    <col min="1" max="1" width="2.7109375" customWidth="1"/>
    <col min="2" max="5" width="20.7109375" customWidth="1"/>
  </cols>
  <sheetData>
    <row r="2" spans="2:5" ht="15.75" x14ac:dyDescent="0.25">
      <c r="B2" s="118" t="s">
        <v>149</v>
      </c>
      <c r="C2" s="119"/>
      <c r="D2" s="119"/>
      <c r="E2" s="119"/>
    </row>
    <row r="3" spans="2:5" ht="13.5" thickBot="1" x14ac:dyDescent="0.25">
      <c r="B3" s="120"/>
      <c r="C3" s="120" t="s">
        <v>112</v>
      </c>
      <c r="D3" s="120" t="s">
        <v>92</v>
      </c>
      <c r="E3" s="120" t="s">
        <v>93</v>
      </c>
    </row>
    <row r="4" spans="2:5" x14ac:dyDescent="0.2">
      <c r="B4" s="121" t="s">
        <v>100</v>
      </c>
      <c r="C4" s="124">
        <v>475000</v>
      </c>
      <c r="D4" s="124">
        <v>455000</v>
      </c>
      <c r="E4" s="124">
        <v>485000</v>
      </c>
    </row>
    <row r="5" spans="2:5" x14ac:dyDescent="0.2">
      <c r="B5" s="121" t="s">
        <v>101</v>
      </c>
      <c r="C5" s="125">
        <v>18</v>
      </c>
      <c r="D5" s="125">
        <v>12</v>
      </c>
      <c r="E5" s="125">
        <v>20</v>
      </c>
    </row>
    <row r="6" spans="2:5" x14ac:dyDescent="0.2">
      <c r="B6" s="121" t="s">
        <v>158</v>
      </c>
      <c r="C6" s="126">
        <v>0.6</v>
      </c>
      <c r="D6" s="126">
        <v>0.7</v>
      </c>
      <c r="E6" s="126">
        <v>0.6</v>
      </c>
    </row>
    <row r="7" spans="2:5" x14ac:dyDescent="0.2">
      <c r="B7" s="121" t="s">
        <v>102</v>
      </c>
      <c r="C7" s="126">
        <v>2.5000000000000001E-2</v>
      </c>
      <c r="D7" s="126">
        <v>3.5000000000000003E-2</v>
      </c>
      <c r="E7" s="126">
        <v>0.01</v>
      </c>
    </row>
    <row r="8" spans="2:5" x14ac:dyDescent="0.2">
      <c r="B8" s="121" t="s">
        <v>159</v>
      </c>
      <c r="C8" s="125">
        <v>10</v>
      </c>
      <c r="D8" s="125">
        <v>10</v>
      </c>
      <c r="E8" s="125">
        <v>10</v>
      </c>
    </row>
    <row r="9" spans="2:5" x14ac:dyDescent="0.2">
      <c r="B9" s="122" t="s">
        <v>113</v>
      </c>
      <c r="C9" s="127">
        <v>0.02</v>
      </c>
      <c r="D9" s="127">
        <v>1.4999999999999999E-2</v>
      </c>
      <c r="E9" s="127">
        <v>0.04</v>
      </c>
    </row>
    <row r="10" spans="2:5" x14ac:dyDescent="0.2">
      <c r="B10" s="123" t="s">
        <v>76</v>
      </c>
      <c r="C10" s="128">
        <v>0.13357967515186076</v>
      </c>
      <c r="D10" s="128">
        <v>0.19458463782685631</v>
      </c>
      <c r="E10" s="128">
        <v>9.2945100630309696E-2</v>
      </c>
    </row>
    <row r="11" spans="2:5" x14ac:dyDescent="0.2">
      <c r="B11" s="123" t="s">
        <v>153</v>
      </c>
      <c r="C11" s="129">
        <v>6.3404925582534197</v>
      </c>
      <c r="D11" s="129">
        <v>11.425072669255448</v>
      </c>
      <c r="E11" s="129">
        <v>3.7452622061992953</v>
      </c>
    </row>
    <row r="12" spans="2:5" x14ac:dyDescent="0.2">
      <c r="B12" s="123" t="s">
        <v>151</v>
      </c>
      <c r="C12" s="129">
        <v>2.0647047984971869</v>
      </c>
      <c r="D12" s="129">
        <v>2.0755507835815048</v>
      </c>
      <c r="E12" s="129">
        <v>1.9067512380309768</v>
      </c>
    </row>
    <row r="13" spans="2:5" x14ac:dyDescent="0.2">
      <c r="B13" s="123" t="s">
        <v>152</v>
      </c>
      <c r="C13" s="128">
        <v>8.6363972441003509E-2</v>
      </c>
      <c r="D13" s="128">
        <v>0.12485615630753721</v>
      </c>
      <c r="E13" s="128">
        <v>7.3690310474051821E-2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0000"/>
  </sheetPr>
  <dimension ref="A1:B5"/>
  <sheetViews>
    <sheetView workbookViewId="0">
      <selection activeCell="C35" sqref="C35"/>
    </sheetView>
  </sheetViews>
  <sheetFormatPr defaultColWidth="25.7109375" defaultRowHeight="12.75" x14ac:dyDescent="0.2"/>
  <sheetData>
    <row r="1" spans="1:2" ht="18" x14ac:dyDescent="0.25">
      <c r="A1" s="113" t="s">
        <v>156</v>
      </c>
      <c r="B1" s="113" t="s">
        <v>157</v>
      </c>
    </row>
    <row r="2" spans="1:2" x14ac:dyDescent="0.2">
      <c r="A2" t="s">
        <v>76</v>
      </c>
      <c r="B2" t="s">
        <v>76</v>
      </c>
    </row>
    <row r="3" spans="1:2" x14ac:dyDescent="0.2">
      <c r="A3" t="s">
        <v>153</v>
      </c>
      <c r="B3" t="s">
        <v>153</v>
      </c>
    </row>
    <row r="4" spans="1:2" x14ac:dyDescent="0.2">
      <c r="A4" t="s">
        <v>151</v>
      </c>
      <c r="B4" t="s">
        <v>151</v>
      </c>
    </row>
    <row r="5" spans="1:2" x14ac:dyDescent="0.2">
      <c r="A5" t="s">
        <v>152</v>
      </c>
      <c r="B5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E7"/>
  <sheetViews>
    <sheetView workbookViewId="0">
      <selection activeCell="C19" sqref="C19"/>
    </sheetView>
  </sheetViews>
  <sheetFormatPr defaultColWidth="25.7109375" defaultRowHeight="12.75" x14ac:dyDescent="0.2"/>
  <cols>
    <col min="1" max="16384" width="25.7109375" style="111"/>
  </cols>
  <sheetData>
    <row r="1" spans="1:5" s="112" customFormat="1" ht="18" x14ac:dyDescent="0.25">
      <c r="A1" s="114" t="s">
        <v>154</v>
      </c>
      <c r="B1" s="114" t="s">
        <v>155</v>
      </c>
      <c r="C1" s="112" t="s">
        <v>112</v>
      </c>
      <c r="D1" s="112" t="s">
        <v>92</v>
      </c>
      <c r="E1" s="112" t="s">
        <v>93</v>
      </c>
    </row>
    <row r="2" spans="1:5" x14ac:dyDescent="0.2">
      <c r="A2" s="111" t="s">
        <v>100</v>
      </c>
      <c r="B2" s="111" t="s">
        <v>100</v>
      </c>
      <c r="C2" s="111">
        <v>475000</v>
      </c>
      <c r="D2" s="111">
        <v>455000</v>
      </c>
      <c r="E2" s="111">
        <v>485000</v>
      </c>
    </row>
    <row r="3" spans="1:5" x14ac:dyDescent="0.2">
      <c r="A3" s="111" t="s">
        <v>101</v>
      </c>
      <c r="B3" s="111" t="s">
        <v>101</v>
      </c>
      <c r="C3" s="111">
        <v>18</v>
      </c>
      <c r="D3" s="111">
        <v>12</v>
      </c>
      <c r="E3" s="111">
        <v>20</v>
      </c>
    </row>
    <row r="4" spans="1:5" x14ac:dyDescent="0.2">
      <c r="A4" s="111" t="s">
        <v>158</v>
      </c>
      <c r="B4" s="111" t="s">
        <v>158</v>
      </c>
      <c r="C4" s="111">
        <v>0.6</v>
      </c>
      <c r="D4" s="111">
        <v>0.7</v>
      </c>
      <c r="E4" s="111" t="s">
        <v>160</v>
      </c>
    </row>
    <row r="5" spans="1:5" x14ac:dyDescent="0.2">
      <c r="A5" s="111" t="s">
        <v>102</v>
      </c>
      <c r="B5" s="111" t="s">
        <v>102</v>
      </c>
      <c r="C5" s="111">
        <v>2.5000000000000001E-2</v>
      </c>
      <c r="D5" s="111">
        <v>3.5000000000000003E-2</v>
      </c>
      <c r="E5" s="111">
        <v>0.01</v>
      </c>
    </row>
    <row r="6" spans="1:5" x14ac:dyDescent="0.2">
      <c r="A6" s="111" t="s">
        <v>159</v>
      </c>
      <c r="B6" s="111" t="s">
        <v>159</v>
      </c>
      <c r="C6" s="111">
        <v>10</v>
      </c>
      <c r="D6" s="111">
        <v>10</v>
      </c>
      <c r="E6" s="111">
        <v>10</v>
      </c>
    </row>
    <row r="7" spans="1:5" x14ac:dyDescent="0.2">
      <c r="A7" s="111" t="s">
        <v>113</v>
      </c>
      <c r="B7" s="111" t="s">
        <v>113</v>
      </c>
      <c r="C7" s="111">
        <v>0.02</v>
      </c>
      <c r="D7" s="111">
        <v>1.4999999999999999E-2</v>
      </c>
      <c r="E7" s="111">
        <v>0.04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O6"/>
  <sheetViews>
    <sheetView workbookViewId="0">
      <selection activeCell="F16" sqref="F16"/>
    </sheetView>
  </sheetViews>
  <sheetFormatPr defaultColWidth="11.42578125" defaultRowHeight="12.75" x14ac:dyDescent="0.2"/>
  <sheetData>
    <row r="1" spans="1:41" s="1" customFormat="1" x14ac:dyDescent="0.2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37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23</v>
      </c>
      <c r="O1" s="1" t="s">
        <v>24</v>
      </c>
      <c r="P1" s="1" t="s">
        <v>32</v>
      </c>
      <c r="Q1" s="1" t="s">
        <v>33</v>
      </c>
      <c r="R1" s="1" t="s">
        <v>34</v>
      </c>
      <c r="T1" s="1" t="s">
        <v>22</v>
      </c>
      <c r="W1" s="1" t="s">
        <v>35</v>
      </c>
      <c r="X1" s="1" t="s">
        <v>36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I1" s="1" t="s">
        <v>23</v>
      </c>
      <c r="AJ1" s="1" t="s">
        <v>24</v>
      </c>
      <c r="AK1" s="1" t="s">
        <v>25</v>
      </c>
      <c r="AL1" s="1" t="s">
        <v>26</v>
      </c>
      <c r="AN1" s="1" t="s">
        <v>25</v>
      </c>
      <c r="AO1" s="1" t="s">
        <v>26</v>
      </c>
    </row>
    <row r="2" spans="1:41" s="1" customFormat="1" x14ac:dyDescent="0.2">
      <c r="A2" s="1" t="s">
        <v>7</v>
      </c>
      <c r="I2" s="1" t="s">
        <v>1</v>
      </c>
      <c r="J2" s="1" t="s">
        <v>9</v>
      </c>
      <c r="K2" s="1">
        <v>10</v>
      </c>
      <c r="L2" s="1">
        <v>1</v>
      </c>
      <c r="M2" s="1">
        <v>100</v>
      </c>
      <c r="N2" s="1" t="s">
        <v>43</v>
      </c>
      <c r="O2" s="1" t="s">
        <v>43</v>
      </c>
      <c r="P2" s="1">
        <v>10</v>
      </c>
      <c r="Q2" s="1">
        <v>4</v>
      </c>
      <c r="R2" s="1">
        <v>9.9999999999999995E-7</v>
      </c>
      <c r="T2" s="1">
        <v>10000</v>
      </c>
      <c r="W2" s="1">
        <v>5000</v>
      </c>
      <c r="X2" s="1">
        <v>0.15</v>
      </c>
      <c r="AC2" s="1">
        <v>0.1</v>
      </c>
      <c r="AD2" s="1">
        <v>0.125</v>
      </c>
      <c r="AE2" s="1">
        <v>0.15</v>
      </c>
      <c r="AF2" s="1">
        <v>0.17499999999999999</v>
      </c>
      <c r="AG2" s="1">
        <v>0.2</v>
      </c>
      <c r="AI2" s="1" t="s">
        <v>43</v>
      </c>
      <c r="AJ2" s="1" t="s">
        <v>43</v>
      </c>
      <c r="AK2" s="1" t="s">
        <v>1</v>
      </c>
      <c r="AL2" s="1" t="s">
        <v>9</v>
      </c>
      <c r="AN2" s="1" t="s">
        <v>1</v>
      </c>
      <c r="AO2" s="1" t="s">
        <v>9</v>
      </c>
    </row>
    <row r="3" spans="1:41" x14ac:dyDescent="0.2">
      <c r="A3" t="s">
        <v>8</v>
      </c>
      <c r="B3" t="s">
        <v>8</v>
      </c>
      <c r="C3">
        <v>0.08</v>
      </c>
      <c r="D3">
        <v>0.1</v>
      </c>
      <c r="E3">
        <v>0.12</v>
      </c>
      <c r="F3">
        <v>0.01</v>
      </c>
      <c r="G3">
        <v>10</v>
      </c>
      <c r="H3" t="s">
        <v>38</v>
      </c>
    </row>
    <row r="4" spans="1:41" x14ac:dyDescent="0.2">
      <c r="A4" t="s">
        <v>39</v>
      </c>
      <c r="B4" t="s">
        <v>39</v>
      </c>
      <c r="C4">
        <v>1.4999999999999999E-2</v>
      </c>
      <c r="D4">
        <v>0.02</v>
      </c>
      <c r="E4">
        <v>2.5000000000000001E-2</v>
      </c>
      <c r="F4">
        <v>2E-3</v>
      </c>
      <c r="G4">
        <v>10</v>
      </c>
      <c r="H4" t="s">
        <v>40</v>
      </c>
    </row>
    <row r="5" spans="1:41" x14ac:dyDescent="0.2">
      <c r="A5" t="s">
        <v>41</v>
      </c>
      <c r="B5" t="s">
        <v>41</v>
      </c>
      <c r="C5">
        <v>15</v>
      </c>
      <c r="D5">
        <v>20</v>
      </c>
      <c r="E5">
        <v>25</v>
      </c>
      <c r="F5">
        <v>2</v>
      </c>
      <c r="G5">
        <v>10</v>
      </c>
      <c r="H5" t="s">
        <v>38</v>
      </c>
    </row>
    <row r="6" spans="1:41" x14ac:dyDescent="0.2">
      <c r="A6" t="s">
        <v>42</v>
      </c>
      <c r="B6" t="s">
        <v>42</v>
      </c>
      <c r="C6">
        <v>9</v>
      </c>
      <c r="D6">
        <v>11</v>
      </c>
      <c r="E6">
        <v>15</v>
      </c>
      <c r="F6">
        <v>0.9</v>
      </c>
      <c r="G6">
        <v>10</v>
      </c>
      <c r="H6" t="s">
        <v>38</v>
      </c>
    </row>
  </sheetData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Investment_Valuation_Example</vt:lpstr>
      <vt:lpstr>SCENARIOTABLE</vt:lpstr>
      <vt:lpstr>MC_Saved_Data</vt:lpstr>
      <vt:lpstr>AdminCost</vt:lpstr>
      <vt:lpstr>AppliedScenName</vt:lpstr>
      <vt:lpstr>Cash_Multiplier</vt:lpstr>
      <vt:lpstr>DebtCoverRatio</vt:lpstr>
      <vt:lpstr>Div_Y1</vt:lpstr>
      <vt:lpstr>Exit_Year</vt:lpstr>
      <vt:lpstr>Inflation</vt:lpstr>
      <vt:lpstr>Interest_Rate</vt:lpstr>
      <vt:lpstr>IRR</vt:lpstr>
      <vt:lpstr>Loan_Term</vt:lpstr>
      <vt:lpstr>LTV</vt:lpstr>
      <vt:lpstr>MaintRate</vt:lpstr>
      <vt:lpstr>NCRM</vt:lpstr>
      <vt:lpstr>Net_Price</vt:lpstr>
      <vt:lpstr>RentGrowth</vt:lpstr>
      <vt:lpstr>SaleCost</vt:lpstr>
      <vt:lpstr>VacancyGoal</vt:lpstr>
      <vt:lpstr>VacancyRate</vt:lpstr>
      <vt:lpstr>VacancyTime</vt:lpstr>
      <vt:lpstr>VacChRate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 Starcevic</cp:lastModifiedBy>
  <cp:lastPrinted>2012-10-07T22:09:16Z</cp:lastPrinted>
  <dcterms:created xsi:type="dcterms:W3CDTF">1996-10-17T05:27:31Z</dcterms:created>
  <dcterms:modified xsi:type="dcterms:W3CDTF">2023-01-21T12:25:15Z</dcterms:modified>
</cp:coreProperties>
</file>